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001\幼稚園G\幼稚園Gデータ領域\Dai2\ち　調査・資料提供関係\R06　調査関係フォルダー\01_対応中\1107〆【文科省】体罰等に係る実態把握について\02_園へ\"/>
    </mc:Choice>
  </mc:AlternateContent>
  <xr:revisionPtr revIDLastSave="0" documentId="13_ncr:1_{C16726E1-DDDF-4440-AECA-44E5F407C805}" xr6:coauthVersionLast="47" xr6:coauthVersionMax="47" xr10:uidLastSave="{00000000-0000-0000-0000-000000000000}"/>
  <bookViews>
    <workbookView xWindow="-108" yWindow="-108" windowWidth="23256" windowHeight="14160" xr2:uid="{00000000-000D-0000-FFFF-FFFF00000000}"/>
  </bookViews>
  <sheets>
    <sheet name="様式１" sheetId="1" r:id="rId1"/>
    <sheet name="様式２" sheetId="5" r:id="rId2"/>
    <sheet name="様式2-2（別紙）" sheetId="7" r:id="rId3"/>
  </sheets>
  <externalReferences>
    <externalReference r:id="rId4"/>
  </externalReferences>
  <definedNames>
    <definedName name="_xlnm.Print_Area" localSheetId="0">様式１!$A$1:$CC$42</definedName>
    <definedName name="_xlnm.Print_Area" localSheetId="1">様式２!$A$1:$CB$42</definedName>
    <definedName name="_xlnm.Print_Titles" localSheetId="0">様式１!$5:$8</definedName>
    <definedName name="Z_48A2FC4F_1392_43EA_BA5B_A2639390C8CB_.wvu.PrintArea" localSheetId="0" hidden="1">様式１!$A$1:$BR$28</definedName>
    <definedName name="Z_48A2FC4F_1392_43EA_BA5B_A2639390C8CB_.wvu.PrintTitles" localSheetId="0" hidden="1">様式１!$5:$8</definedName>
    <definedName name="県市名">[1]リスト!$A$1:$A$67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W63" i="5" l="1"/>
  <c r="DV63" i="5"/>
  <c r="DU63" i="5"/>
  <c r="DT63" i="5"/>
  <c r="DS63" i="5"/>
  <c r="DR63" i="5"/>
  <c r="DQ63" i="5"/>
  <c r="DP63" i="5"/>
  <c r="DO63" i="5"/>
  <c r="DN63" i="5"/>
  <c r="DM63" i="5"/>
  <c r="DL63" i="5"/>
  <c r="DK63" i="5"/>
  <c r="DJ63" i="5"/>
  <c r="DI63" i="5"/>
  <c r="DH63" i="5"/>
  <c r="DG63" i="5"/>
  <c r="DF63" i="5"/>
  <c r="DE63" i="5"/>
  <c r="DD63" i="5"/>
  <c r="DC63" i="5"/>
  <c r="DB63" i="5"/>
  <c r="DA63" i="5"/>
  <c r="CZ63" i="5"/>
  <c r="CY63" i="5"/>
  <c r="CX63" i="5"/>
  <c r="CW63" i="5"/>
  <c r="CV63" i="5"/>
  <c r="CU63" i="5"/>
  <c r="CT63" i="5"/>
  <c r="CS63" i="5"/>
  <c r="CR63" i="5"/>
  <c r="CQ63" i="5"/>
  <c r="CP63" i="5"/>
  <c r="CO63" i="5"/>
  <c r="CN63" i="5"/>
  <c r="CM63" i="5"/>
  <c r="CL63" i="5"/>
  <c r="CK63" i="5"/>
  <c r="CJ63" i="5"/>
  <c r="CI63" i="5"/>
  <c r="CH63" i="5"/>
  <c r="CG63" i="5"/>
  <c r="CF63" i="5"/>
  <c r="CE63" i="5"/>
  <c r="CD63" i="5"/>
  <c r="DS54" i="5"/>
  <c r="DR54" i="5"/>
  <c r="DQ54" i="5"/>
  <c r="DP54" i="5"/>
  <c r="DO54" i="5"/>
  <c r="DN54" i="5"/>
  <c r="DM54" i="5"/>
  <c r="DL54" i="5"/>
  <c r="DK54" i="5"/>
  <c r="DJ54" i="5"/>
  <c r="DI54" i="5"/>
  <c r="DH54" i="5"/>
  <c r="DG54" i="5"/>
  <c r="DF54" i="5"/>
  <c r="DE54" i="5"/>
  <c r="DD54" i="5"/>
  <c r="DC54" i="5"/>
  <c r="DB54" i="5"/>
  <c r="DA54" i="5"/>
  <c r="CZ54" i="5"/>
  <c r="CY54" i="5"/>
  <c r="CX54" i="5"/>
  <c r="CW54" i="5"/>
  <c r="CV54" i="5"/>
  <c r="CU54" i="5"/>
  <c r="CT54" i="5"/>
  <c r="CS54" i="5"/>
  <c r="CR54" i="5"/>
  <c r="CQ54" i="5"/>
  <c r="CP54" i="5"/>
  <c r="CO54" i="5"/>
  <c r="CN54" i="5"/>
  <c r="CM54" i="5"/>
  <c r="CL54" i="5"/>
  <c r="CK54" i="5"/>
  <c r="CJ54" i="5"/>
  <c r="CI54" i="5"/>
  <c r="CH54" i="5"/>
  <c r="CG54" i="5"/>
  <c r="CF54" i="5"/>
  <c r="CE54" i="5"/>
  <c r="DS53" i="5"/>
  <c r="DR53" i="5"/>
  <c r="DQ53" i="5"/>
  <c r="DP53" i="5"/>
  <c r="DO53" i="5"/>
  <c r="DN53" i="5"/>
  <c r="DM53" i="5"/>
  <c r="DL53" i="5"/>
  <c r="DK53" i="5"/>
  <c r="DJ53" i="5"/>
  <c r="DI53" i="5"/>
  <c r="DH53" i="5"/>
  <c r="DG53" i="5"/>
  <c r="DF53" i="5"/>
  <c r="DE53" i="5"/>
  <c r="DD53" i="5"/>
  <c r="DC53" i="5"/>
  <c r="DB53" i="5"/>
  <c r="DA53" i="5"/>
  <c r="CZ53" i="5"/>
  <c r="CY53" i="5"/>
  <c r="CX53" i="5"/>
  <c r="CW53" i="5"/>
  <c r="CV53" i="5"/>
  <c r="CU53" i="5"/>
  <c r="CT53" i="5"/>
  <c r="CS53" i="5"/>
  <c r="CR53" i="5"/>
  <c r="CQ53" i="5"/>
  <c r="CP53" i="5"/>
  <c r="CO53" i="5"/>
  <c r="CN53" i="5"/>
  <c r="CM53" i="5"/>
  <c r="CL53" i="5"/>
  <c r="CK53" i="5"/>
  <c r="CJ53" i="5"/>
  <c r="CI53" i="5"/>
  <c r="CH53" i="5"/>
  <c r="CG53" i="5"/>
  <c r="CF53" i="5"/>
  <c r="CE53" i="5"/>
  <c r="DS52" i="5"/>
  <c r="DR52" i="5"/>
  <c r="DQ52" i="5"/>
  <c r="DP52" i="5"/>
  <c r="DO52" i="5"/>
  <c r="DN52" i="5"/>
  <c r="DM52" i="5"/>
  <c r="DL52" i="5"/>
  <c r="DK52" i="5"/>
  <c r="DJ52" i="5"/>
  <c r="DI52" i="5"/>
  <c r="DH52" i="5"/>
  <c r="DG52" i="5"/>
  <c r="DF52" i="5"/>
  <c r="DE52" i="5"/>
  <c r="DD52" i="5"/>
  <c r="DC52" i="5"/>
  <c r="DB52" i="5"/>
  <c r="DA52" i="5"/>
  <c r="CZ52" i="5"/>
  <c r="CY52" i="5"/>
  <c r="CX52" i="5"/>
  <c r="CW52" i="5"/>
  <c r="CV52" i="5"/>
  <c r="CU52" i="5"/>
  <c r="CT52" i="5"/>
  <c r="CS52" i="5"/>
  <c r="CR52" i="5"/>
  <c r="CQ52" i="5"/>
  <c r="CP52" i="5"/>
  <c r="CO52" i="5"/>
  <c r="CN52" i="5"/>
  <c r="CM52" i="5"/>
  <c r="CL52" i="5"/>
  <c r="CK52" i="5"/>
  <c r="CJ52" i="5"/>
  <c r="CI52" i="5"/>
  <c r="CH52" i="5"/>
  <c r="CG52" i="5"/>
  <c r="CF52" i="5"/>
  <c r="CE52" i="5"/>
  <c r="DS51" i="5"/>
  <c r="DR51" i="5"/>
  <c r="DQ51" i="5"/>
  <c r="DP51" i="5"/>
  <c r="DO51" i="5"/>
  <c r="DN51" i="5"/>
  <c r="DM51" i="5"/>
  <c r="DL51" i="5"/>
  <c r="DK51" i="5"/>
  <c r="DJ51" i="5"/>
  <c r="DI51" i="5"/>
  <c r="DH51" i="5"/>
  <c r="DG51" i="5"/>
  <c r="DF51" i="5"/>
  <c r="DE51" i="5"/>
  <c r="DD51" i="5"/>
  <c r="DC51" i="5"/>
  <c r="DB51" i="5"/>
  <c r="DA51" i="5"/>
  <c r="CZ51" i="5"/>
  <c r="CY51" i="5"/>
  <c r="CX51" i="5"/>
  <c r="CW51" i="5"/>
  <c r="CV51" i="5"/>
  <c r="CU51" i="5"/>
  <c r="CT51" i="5"/>
  <c r="CS51" i="5"/>
  <c r="CR51" i="5"/>
  <c r="CQ51" i="5"/>
  <c r="CP51" i="5"/>
  <c r="CO51" i="5"/>
  <c r="CN51" i="5"/>
  <c r="CM51" i="5"/>
  <c r="CL51" i="5"/>
  <c r="CK51" i="5"/>
  <c r="CJ51" i="5"/>
  <c r="CI51" i="5"/>
  <c r="CH51" i="5"/>
  <c r="CG51" i="5"/>
  <c r="CF51" i="5"/>
  <c r="CE51" i="5"/>
  <c r="DS50" i="5"/>
  <c r="DR50" i="5"/>
  <c r="DQ50" i="5"/>
  <c r="DP50" i="5"/>
  <c r="DO50" i="5"/>
  <c r="DN50" i="5"/>
  <c r="DM50" i="5"/>
  <c r="DL50" i="5"/>
  <c r="DK50" i="5"/>
  <c r="DJ50" i="5"/>
  <c r="DI50" i="5"/>
  <c r="DH50" i="5"/>
  <c r="DG50" i="5"/>
  <c r="DF50" i="5"/>
  <c r="DE50" i="5"/>
  <c r="DD50" i="5"/>
  <c r="DC50" i="5"/>
  <c r="DB50" i="5"/>
  <c r="DA50" i="5"/>
  <c r="CZ50" i="5"/>
  <c r="CY50" i="5"/>
  <c r="CX50" i="5"/>
  <c r="CW50" i="5"/>
  <c r="CV50" i="5"/>
  <c r="CU50" i="5"/>
  <c r="CT50" i="5"/>
  <c r="CS50" i="5"/>
  <c r="CR50" i="5"/>
  <c r="CQ50" i="5"/>
  <c r="CP50" i="5"/>
  <c r="CO50" i="5"/>
  <c r="CN50" i="5"/>
  <c r="CM50" i="5"/>
  <c r="CL50" i="5"/>
  <c r="CK50" i="5"/>
  <c r="CJ50" i="5"/>
  <c r="CI50" i="5"/>
  <c r="CH50" i="5"/>
  <c r="CG50" i="5"/>
  <c r="CF50" i="5"/>
  <c r="CE50" i="5"/>
  <c r="DS49" i="5"/>
  <c r="DR49" i="5"/>
  <c r="DQ49" i="5"/>
  <c r="DP49" i="5"/>
  <c r="DO49" i="5"/>
  <c r="DN49" i="5"/>
  <c r="DM49" i="5"/>
  <c r="DL49" i="5"/>
  <c r="DK49" i="5"/>
  <c r="DJ49" i="5"/>
  <c r="DI49" i="5"/>
  <c r="DH49" i="5"/>
  <c r="DG49" i="5"/>
  <c r="DF49" i="5"/>
  <c r="DE49" i="5"/>
  <c r="DD49" i="5"/>
  <c r="DC49" i="5"/>
  <c r="DB49" i="5"/>
  <c r="DA49" i="5"/>
  <c r="CZ49" i="5"/>
  <c r="CY49" i="5"/>
  <c r="CX49" i="5"/>
  <c r="CW49" i="5"/>
  <c r="CV49" i="5"/>
  <c r="CU49" i="5"/>
  <c r="CT49" i="5"/>
  <c r="CS49" i="5"/>
  <c r="CR49" i="5"/>
  <c r="CQ49" i="5"/>
  <c r="CP49" i="5"/>
  <c r="CO49" i="5"/>
  <c r="CN49" i="5"/>
  <c r="CM49" i="5"/>
  <c r="CL49" i="5"/>
  <c r="CK49" i="5"/>
  <c r="CJ49" i="5"/>
  <c r="CI49" i="5"/>
  <c r="CH49" i="5"/>
  <c r="CG49" i="5"/>
  <c r="CF49" i="5"/>
  <c r="CE49" i="5"/>
  <c r="DS48" i="5"/>
  <c r="DR48" i="5"/>
  <c r="DQ48" i="5"/>
  <c r="DP48" i="5"/>
  <c r="DO48" i="5"/>
  <c r="DN48" i="5"/>
  <c r="DM48" i="5"/>
  <c r="DL48" i="5"/>
  <c r="DK48" i="5"/>
  <c r="DJ48" i="5"/>
  <c r="DI48" i="5"/>
  <c r="DH48" i="5"/>
  <c r="DG48" i="5"/>
  <c r="DF48" i="5"/>
  <c r="DE48" i="5"/>
  <c r="DD48" i="5"/>
  <c r="DC48" i="5"/>
  <c r="DB48" i="5"/>
  <c r="DA48" i="5"/>
  <c r="CZ48" i="5"/>
  <c r="CY48" i="5"/>
  <c r="CX48" i="5"/>
  <c r="CW48" i="5"/>
  <c r="CV48" i="5"/>
  <c r="CU48" i="5"/>
  <c r="CT48" i="5"/>
  <c r="CS48" i="5"/>
  <c r="CR48" i="5"/>
  <c r="CQ48" i="5"/>
  <c r="CP48" i="5"/>
  <c r="CO48" i="5"/>
  <c r="CN48" i="5"/>
  <c r="CM48" i="5"/>
  <c r="CL48" i="5"/>
  <c r="CK48" i="5"/>
  <c r="CJ48" i="5"/>
  <c r="CI48" i="5"/>
  <c r="CH48" i="5"/>
  <c r="CG48" i="5"/>
  <c r="CF48" i="5"/>
  <c r="CE48" i="5"/>
  <c r="DS47" i="5"/>
  <c r="DR47" i="5"/>
  <c r="DQ47" i="5"/>
  <c r="DP47" i="5"/>
  <c r="DO47" i="5"/>
  <c r="DN47" i="5"/>
  <c r="DM47" i="5"/>
  <c r="DL47" i="5"/>
  <c r="DK47" i="5"/>
  <c r="DJ47" i="5"/>
  <c r="DI47" i="5"/>
  <c r="DI46" i="5" s="1"/>
  <c r="DH47" i="5"/>
  <c r="DG47" i="5"/>
  <c r="DF47" i="5"/>
  <c r="DE47" i="5"/>
  <c r="DE46" i="5" s="1"/>
  <c r="DD47" i="5"/>
  <c r="DC47" i="5"/>
  <c r="DB47" i="5"/>
  <c r="DA47" i="5"/>
  <c r="DA46" i="5" s="1"/>
  <c r="CZ47" i="5"/>
  <c r="CY47" i="5"/>
  <c r="CX47" i="5"/>
  <c r="CW47" i="5"/>
  <c r="CV47" i="5"/>
  <c r="CU47" i="5"/>
  <c r="CT47" i="5"/>
  <c r="CS47" i="5"/>
  <c r="CR47" i="5"/>
  <c r="CQ47" i="5"/>
  <c r="CP47" i="5"/>
  <c r="CO47" i="5"/>
  <c r="CO46" i="5" s="1"/>
  <c r="CN47" i="5"/>
  <c r="CM47" i="5"/>
  <c r="CL47" i="5"/>
  <c r="CK47" i="5"/>
  <c r="CK46" i="5" s="1"/>
  <c r="CJ47" i="5"/>
  <c r="CI47" i="5"/>
  <c r="CH47" i="5"/>
  <c r="CG47" i="5"/>
  <c r="CF47" i="5"/>
  <c r="CE47" i="5"/>
  <c r="CV38" i="5"/>
  <c r="CU38" i="5"/>
  <c r="CT38" i="5"/>
  <c r="CS38" i="5"/>
  <c r="CR38" i="5"/>
  <c r="CQ38" i="5"/>
  <c r="CP38" i="5"/>
  <c r="CM38" i="5"/>
  <c r="CL38" i="5"/>
  <c r="CK38" i="5"/>
  <c r="CJ38" i="5"/>
  <c r="CI38" i="5"/>
  <c r="CH38" i="5"/>
  <c r="CG38" i="5"/>
  <c r="CF38" i="5"/>
  <c r="CE38" i="5"/>
  <c r="CD38" i="5"/>
  <c r="CV37" i="5"/>
  <c r="CU37" i="5"/>
  <c r="CT37" i="5"/>
  <c r="CS37" i="5"/>
  <c r="CR37" i="5"/>
  <c r="CQ37" i="5"/>
  <c r="CP37" i="5"/>
  <c r="CM37" i="5"/>
  <c r="CL37" i="5"/>
  <c r="CK37" i="5"/>
  <c r="CJ37" i="5"/>
  <c r="CI37" i="5"/>
  <c r="CH37" i="5"/>
  <c r="CG37" i="5"/>
  <c r="CF37" i="5"/>
  <c r="CE37" i="5"/>
  <c r="CD37" i="5"/>
  <c r="CV36" i="5"/>
  <c r="CU36" i="5"/>
  <c r="CT36" i="5"/>
  <c r="CS36" i="5"/>
  <c r="CR36" i="5"/>
  <c r="CQ36" i="5"/>
  <c r="CP36" i="5"/>
  <c r="CM36" i="5"/>
  <c r="CL36" i="5"/>
  <c r="CK36" i="5"/>
  <c r="CJ36" i="5"/>
  <c r="CI36" i="5"/>
  <c r="CH36" i="5"/>
  <c r="CG36" i="5"/>
  <c r="CF36" i="5"/>
  <c r="CE36" i="5"/>
  <c r="CD36" i="5"/>
  <c r="CV35" i="5"/>
  <c r="CU35" i="5"/>
  <c r="CT35" i="5"/>
  <c r="CS35" i="5"/>
  <c r="CR35" i="5"/>
  <c r="CQ35" i="5"/>
  <c r="CP35" i="5"/>
  <c r="CM35" i="5"/>
  <c r="CL35" i="5"/>
  <c r="CK35" i="5"/>
  <c r="CJ35" i="5"/>
  <c r="CI35" i="5"/>
  <c r="CH35" i="5"/>
  <c r="CG35" i="5"/>
  <c r="CF35" i="5"/>
  <c r="CE35" i="5"/>
  <c r="CD35" i="5"/>
  <c r="CV34" i="5"/>
  <c r="CU34" i="5"/>
  <c r="CT34" i="5"/>
  <c r="CS34" i="5"/>
  <c r="CR34" i="5"/>
  <c r="CQ34" i="5"/>
  <c r="CP34" i="5"/>
  <c r="CM34" i="5"/>
  <c r="CL34" i="5"/>
  <c r="CK34" i="5"/>
  <c r="CJ34" i="5"/>
  <c r="CI34" i="5"/>
  <c r="CH34" i="5"/>
  <c r="CG34" i="5"/>
  <c r="CF34" i="5"/>
  <c r="CE34" i="5"/>
  <c r="CD34" i="5"/>
  <c r="CV33" i="5"/>
  <c r="CU33" i="5"/>
  <c r="CT33" i="5"/>
  <c r="CS33" i="5"/>
  <c r="CR33" i="5"/>
  <c r="CQ33" i="5"/>
  <c r="CP33" i="5"/>
  <c r="CM33" i="5"/>
  <c r="CL33" i="5"/>
  <c r="CK33" i="5"/>
  <c r="CJ33" i="5"/>
  <c r="CI33" i="5"/>
  <c r="CH33" i="5"/>
  <c r="CG33" i="5"/>
  <c r="CF33" i="5"/>
  <c r="CE33" i="5"/>
  <c r="CD33" i="5"/>
  <c r="CV32" i="5"/>
  <c r="CU32" i="5"/>
  <c r="CT32" i="5"/>
  <c r="CS32" i="5"/>
  <c r="CR32" i="5"/>
  <c r="CQ32" i="5"/>
  <c r="CP32" i="5"/>
  <c r="CM32" i="5"/>
  <c r="CL32" i="5"/>
  <c r="CK32" i="5"/>
  <c r="CJ32" i="5"/>
  <c r="CI32" i="5"/>
  <c r="CH32" i="5"/>
  <c r="CG32" i="5"/>
  <c r="CF32" i="5"/>
  <c r="CE32" i="5"/>
  <c r="CD32" i="5"/>
  <c r="CV31" i="5"/>
  <c r="CU31" i="5"/>
  <c r="CT31" i="5"/>
  <c r="CS31" i="5"/>
  <c r="CR31" i="5"/>
  <c r="CQ31" i="5"/>
  <c r="CP31" i="5"/>
  <c r="CM31" i="5"/>
  <c r="CL31" i="5"/>
  <c r="CK31" i="5"/>
  <c r="CJ31" i="5"/>
  <c r="CI31" i="5"/>
  <c r="CH31" i="5"/>
  <c r="CG31" i="5"/>
  <c r="CF31" i="5"/>
  <c r="CE31" i="5"/>
  <c r="CD31" i="5"/>
  <c r="CV30" i="5"/>
  <c r="CU30" i="5"/>
  <c r="CT30" i="5"/>
  <c r="CS30" i="5"/>
  <c r="CR30" i="5"/>
  <c r="CQ30" i="5"/>
  <c r="CP30" i="5"/>
  <c r="CM30" i="5"/>
  <c r="CL30" i="5"/>
  <c r="CK30" i="5"/>
  <c r="CJ30" i="5"/>
  <c r="CI30" i="5"/>
  <c r="CH30" i="5"/>
  <c r="CG30" i="5"/>
  <c r="CF30" i="5"/>
  <c r="CE30" i="5"/>
  <c r="CD30" i="5"/>
  <c r="CV29" i="5"/>
  <c r="CU29" i="5"/>
  <c r="CT29" i="5"/>
  <c r="CS29" i="5"/>
  <c r="CR29" i="5"/>
  <c r="CQ29" i="5"/>
  <c r="CP29" i="5"/>
  <c r="CM29" i="5"/>
  <c r="CL29" i="5"/>
  <c r="CK29" i="5"/>
  <c r="CJ29" i="5"/>
  <c r="CI29" i="5"/>
  <c r="CH29" i="5"/>
  <c r="CG29" i="5"/>
  <c r="CF29" i="5"/>
  <c r="CE29" i="5"/>
  <c r="CD29" i="5"/>
  <c r="CV28" i="5"/>
  <c r="CU28" i="5"/>
  <c r="CT28" i="5"/>
  <c r="CS28" i="5"/>
  <c r="CR28" i="5"/>
  <c r="CQ28" i="5"/>
  <c r="CP28" i="5"/>
  <c r="CM28" i="5"/>
  <c r="CL28" i="5"/>
  <c r="CK28" i="5"/>
  <c r="CJ28" i="5"/>
  <c r="CI28" i="5"/>
  <c r="CH28" i="5"/>
  <c r="CG28" i="5"/>
  <c r="CF28" i="5"/>
  <c r="CE28" i="5"/>
  <c r="CD28" i="5"/>
  <c r="CV27" i="5"/>
  <c r="CU27" i="5"/>
  <c r="CT27" i="5"/>
  <c r="CS27" i="5"/>
  <c r="CR27" i="5"/>
  <c r="CQ27" i="5"/>
  <c r="CP27" i="5"/>
  <c r="CM27" i="5"/>
  <c r="CL27" i="5"/>
  <c r="CK27" i="5"/>
  <c r="CJ27" i="5"/>
  <c r="CI27" i="5"/>
  <c r="CH27" i="5"/>
  <c r="CG27" i="5"/>
  <c r="CF27" i="5"/>
  <c r="CE27" i="5"/>
  <c r="CD27" i="5"/>
  <c r="CV26" i="5"/>
  <c r="CU26" i="5"/>
  <c r="CT26" i="5"/>
  <c r="CS26" i="5"/>
  <c r="CR26" i="5"/>
  <c r="CQ26" i="5"/>
  <c r="CP26" i="5"/>
  <c r="CM26" i="5"/>
  <c r="CL26" i="5"/>
  <c r="CK26" i="5"/>
  <c r="CJ26" i="5"/>
  <c r="CI26" i="5"/>
  <c r="CH26" i="5"/>
  <c r="CG26" i="5"/>
  <c r="CF26" i="5"/>
  <c r="CE26" i="5"/>
  <c r="CD26" i="5"/>
  <c r="CV25" i="5"/>
  <c r="CU25" i="5"/>
  <c r="CT25" i="5"/>
  <c r="CS25" i="5"/>
  <c r="CR25" i="5"/>
  <c r="CQ25" i="5"/>
  <c r="CP25" i="5"/>
  <c r="CM25" i="5"/>
  <c r="CL25" i="5"/>
  <c r="CK25" i="5"/>
  <c r="CJ25" i="5"/>
  <c r="CI25" i="5"/>
  <c r="CH25" i="5"/>
  <c r="CG25" i="5"/>
  <c r="CF25" i="5"/>
  <c r="CE25" i="5"/>
  <c r="CD25" i="5"/>
  <c r="CV24" i="5"/>
  <c r="CU24" i="5"/>
  <c r="CT24" i="5"/>
  <c r="CS24" i="5"/>
  <c r="CR24" i="5"/>
  <c r="CQ24" i="5"/>
  <c r="CP24" i="5"/>
  <c r="CM24" i="5"/>
  <c r="CL24" i="5"/>
  <c r="CK24" i="5"/>
  <c r="CJ24" i="5"/>
  <c r="CI24" i="5"/>
  <c r="CH24" i="5"/>
  <c r="CG24" i="5"/>
  <c r="CF24" i="5"/>
  <c r="CE24" i="5"/>
  <c r="CD24" i="5"/>
  <c r="CV23" i="5"/>
  <c r="CU23" i="5"/>
  <c r="CT23" i="5"/>
  <c r="CS23" i="5"/>
  <c r="CR23" i="5"/>
  <c r="CQ23" i="5"/>
  <c r="CP23" i="5"/>
  <c r="CM23" i="5"/>
  <c r="CL23" i="5"/>
  <c r="CK23" i="5"/>
  <c r="CJ23" i="5"/>
  <c r="CI23" i="5"/>
  <c r="CH23" i="5"/>
  <c r="CG23" i="5"/>
  <c r="CF23" i="5"/>
  <c r="CE23" i="5"/>
  <c r="CD23" i="5"/>
  <c r="CV22" i="5"/>
  <c r="CU22" i="5"/>
  <c r="CT22" i="5"/>
  <c r="CS22" i="5"/>
  <c r="CR22" i="5"/>
  <c r="CQ22" i="5"/>
  <c r="CP22" i="5"/>
  <c r="CM22" i="5"/>
  <c r="CL22" i="5"/>
  <c r="CK22" i="5"/>
  <c r="CJ22" i="5"/>
  <c r="CI22" i="5"/>
  <c r="CH22" i="5"/>
  <c r="CG22" i="5"/>
  <c r="CF22" i="5"/>
  <c r="CE22" i="5"/>
  <c r="CD22" i="5"/>
  <c r="CV21" i="5"/>
  <c r="CU21" i="5"/>
  <c r="CT21" i="5"/>
  <c r="CS21" i="5"/>
  <c r="CR21" i="5"/>
  <c r="CQ21" i="5"/>
  <c r="CP21" i="5"/>
  <c r="CM21" i="5"/>
  <c r="CL21" i="5"/>
  <c r="CK21" i="5"/>
  <c r="CJ21" i="5"/>
  <c r="CI21" i="5"/>
  <c r="CH21" i="5"/>
  <c r="CG21" i="5"/>
  <c r="CF21" i="5"/>
  <c r="CE21" i="5"/>
  <c r="CD21" i="5"/>
  <c r="CV20" i="5"/>
  <c r="CU20" i="5"/>
  <c r="CT20" i="5"/>
  <c r="CS20" i="5"/>
  <c r="CR20" i="5"/>
  <c r="CQ20" i="5"/>
  <c r="CP20" i="5"/>
  <c r="CM20" i="5"/>
  <c r="CL20" i="5"/>
  <c r="CK20" i="5"/>
  <c r="CJ20" i="5"/>
  <c r="CI20" i="5"/>
  <c r="CH20" i="5"/>
  <c r="CG20" i="5"/>
  <c r="CF20" i="5"/>
  <c r="CE20" i="5"/>
  <c r="CD20" i="5"/>
  <c r="CV19" i="5"/>
  <c r="CU19" i="5"/>
  <c r="CT19" i="5"/>
  <c r="CS19" i="5"/>
  <c r="CR19" i="5"/>
  <c r="CQ19" i="5"/>
  <c r="CP19" i="5"/>
  <c r="CM19" i="5"/>
  <c r="CL19" i="5"/>
  <c r="CK19" i="5"/>
  <c r="CJ19" i="5"/>
  <c r="CI19" i="5"/>
  <c r="CH19" i="5"/>
  <c r="CG19" i="5"/>
  <c r="CF19" i="5"/>
  <c r="CE19" i="5"/>
  <c r="CD19" i="5"/>
  <c r="CV18" i="5"/>
  <c r="CU18" i="5"/>
  <c r="CT18" i="5"/>
  <c r="CS18" i="5"/>
  <c r="CR18" i="5"/>
  <c r="CQ18" i="5"/>
  <c r="CP18" i="5"/>
  <c r="CM18" i="5"/>
  <c r="CL18" i="5"/>
  <c r="CK18" i="5"/>
  <c r="CJ18" i="5"/>
  <c r="CI18" i="5"/>
  <c r="CH18" i="5"/>
  <c r="CG18" i="5"/>
  <c r="CF18" i="5"/>
  <c r="CE18" i="5"/>
  <c r="CD18" i="5"/>
  <c r="CV17" i="5"/>
  <c r="CU17" i="5"/>
  <c r="CT17" i="5"/>
  <c r="CS17" i="5"/>
  <c r="CR17" i="5"/>
  <c r="CQ17" i="5"/>
  <c r="CP17" i="5"/>
  <c r="CM17" i="5"/>
  <c r="CL17" i="5"/>
  <c r="CK17" i="5"/>
  <c r="CJ17" i="5"/>
  <c r="CI17" i="5"/>
  <c r="CH17" i="5"/>
  <c r="CG17" i="5"/>
  <c r="CF17" i="5"/>
  <c r="CE17" i="5"/>
  <c r="CD17" i="5"/>
  <c r="CV16" i="5"/>
  <c r="CU16" i="5"/>
  <c r="CT16" i="5"/>
  <c r="CS16" i="5"/>
  <c r="CR16" i="5"/>
  <c r="CQ16" i="5"/>
  <c r="CP16" i="5"/>
  <c r="CM16" i="5"/>
  <c r="CL16" i="5"/>
  <c r="CK16" i="5"/>
  <c r="CJ16" i="5"/>
  <c r="CI16" i="5"/>
  <c r="CH16" i="5"/>
  <c r="CG16" i="5"/>
  <c r="CF16" i="5"/>
  <c r="CE16" i="5"/>
  <c r="CD16" i="5"/>
  <c r="CV15" i="5"/>
  <c r="CU15" i="5"/>
  <c r="CT15" i="5"/>
  <c r="CS15" i="5"/>
  <c r="CR15" i="5"/>
  <c r="CQ15" i="5"/>
  <c r="CP15" i="5"/>
  <c r="CM15" i="5"/>
  <c r="CL15" i="5"/>
  <c r="CK15" i="5"/>
  <c r="CJ15" i="5"/>
  <c r="CI15" i="5"/>
  <c r="CH15" i="5"/>
  <c r="CG15" i="5"/>
  <c r="CF15" i="5"/>
  <c r="CE15" i="5"/>
  <c r="CD15" i="5"/>
  <c r="CV14" i="5"/>
  <c r="CU14" i="5"/>
  <c r="CT14" i="5"/>
  <c r="CS14" i="5"/>
  <c r="CR14" i="5"/>
  <c r="CQ14" i="5"/>
  <c r="CP14" i="5"/>
  <c r="CM14" i="5"/>
  <c r="CL14" i="5"/>
  <c r="CK14" i="5"/>
  <c r="CJ14" i="5"/>
  <c r="CI14" i="5"/>
  <c r="CH14" i="5"/>
  <c r="CG14" i="5"/>
  <c r="CF14" i="5"/>
  <c r="CE14" i="5"/>
  <c r="CD14" i="5"/>
  <c r="CV13" i="5"/>
  <c r="CU13" i="5"/>
  <c r="CT13" i="5"/>
  <c r="CS13" i="5"/>
  <c r="CR13" i="5"/>
  <c r="CQ13" i="5"/>
  <c r="CP13" i="5"/>
  <c r="CM13" i="5"/>
  <c r="CL13" i="5"/>
  <c r="CK13" i="5"/>
  <c r="CJ13" i="5"/>
  <c r="CI13" i="5"/>
  <c r="CH13" i="5"/>
  <c r="CG13" i="5"/>
  <c r="CF13" i="5"/>
  <c r="CE13" i="5"/>
  <c r="CD13" i="5"/>
  <c r="CV12" i="5"/>
  <c r="CU12" i="5"/>
  <c r="CT12" i="5"/>
  <c r="CS12" i="5"/>
  <c r="CR12" i="5"/>
  <c r="CQ12" i="5"/>
  <c r="CP12" i="5"/>
  <c r="CM12" i="5"/>
  <c r="CL12" i="5"/>
  <c r="CK12" i="5"/>
  <c r="CJ12" i="5"/>
  <c r="CI12" i="5"/>
  <c r="CH12" i="5"/>
  <c r="CG12" i="5"/>
  <c r="CF12" i="5"/>
  <c r="CE12" i="5"/>
  <c r="CD12" i="5"/>
  <c r="CV11" i="5"/>
  <c r="CU11" i="5"/>
  <c r="CT11" i="5"/>
  <c r="CS11" i="5"/>
  <c r="CR11" i="5"/>
  <c r="CQ11" i="5"/>
  <c r="CP11" i="5"/>
  <c r="CM11" i="5"/>
  <c r="CL11" i="5"/>
  <c r="CK11" i="5"/>
  <c r="CJ11" i="5"/>
  <c r="CI11" i="5"/>
  <c r="CH11" i="5"/>
  <c r="CG11" i="5"/>
  <c r="CF11" i="5"/>
  <c r="CE11" i="5"/>
  <c r="CD11" i="5"/>
  <c r="CV10" i="5"/>
  <c r="CU10" i="5"/>
  <c r="CT10" i="5"/>
  <c r="CS10" i="5"/>
  <c r="CR10" i="5"/>
  <c r="CQ10" i="5"/>
  <c r="CP10" i="5"/>
  <c r="CM10" i="5"/>
  <c r="CL10" i="5"/>
  <c r="CK10" i="5"/>
  <c r="CJ10" i="5"/>
  <c r="CI10" i="5"/>
  <c r="CH10" i="5"/>
  <c r="CG10" i="5"/>
  <c r="CF10" i="5"/>
  <c r="CE10" i="5"/>
  <c r="CD10" i="5"/>
  <c r="CV9" i="5"/>
  <c r="CU9" i="5"/>
  <c r="CT9" i="5"/>
  <c r="CS9" i="5"/>
  <c r="CR9" i="5"/>
  <c r="CQ9" i="5"/>
  <c r="CP9" i="5"/>
  <c r="CM9" i="5"/>
  <c r="CL9" i="5"/>
  <c r="CK9" i="5"/>
  <c r="CJ9" i="5"/>
  <c r="CI9" i="5"/>
  <c r="CH9" i="5"/>
  <c r="CG9" i="5"/>
  <c r="CF9" i="5"/>
  <c r="CE9" i="5"/>
  <c r="CD9" i="5"/>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CM54" i="1"/>
  <c r="CM53" i="1"/>
  <c r="CM52" i="1"/>
  <c r="CM51" i="1"/>
  <c r="CM50" i="1"/>
  <c r="CM48" i="1"/>
  <c r="CM47" i="1"/>
  <c r="CK54" i="1"/>
  <c r="CK53" i="1"/>
  <c r="CK52" i="1"/>
  <c r="CK51" i="1"/>
  <c r="CK50" i="1"/>
  <c r="CK48" i="1"/>
  <c r="CK47" i="1"/>
  <c r="BY47" i="1"/>
  <c r="BX47" i="1"/>
  <c r="BW47" i="1"/>
  <c r="CA47" i="1"/>
  <c r="BZ47" i="1"/>
  <c r="BU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L47" i="1"/>
  <c r="CJ47" i="1"/>
  <c r="CI47" i="1"/>
  <c r="CH47" i="1"/>
  <c r="CG47" i="1"/>
  <c r="CF47" i="1"/>
  <c r="CE47" i="1"/>
  <c r="CD47" i="1"/>
  <c r="CC47" i="1"/>
  <c r="CB47" i="1"/>
  <c r="BV47" i="1"/>
  <c r="CD48" i="1"/>
  <c r="CD54" i="1"/>
  <c r="CD53" i="1"/>
  <c r="CD52" i="1"/>
  <c r="CD51" i="1"/>
  <c r="CD50" i="1"/>
  <c r="DV54" i="1"/>
  <c r="DU54" i="1"/>
  <c r="DT54" i="1"/>
  <c r="DS54" i="1"/>
  <c r="DR54" i="1"/>
  <c r="DQ54" i="1"/>
  <c r="DP54" i="1"/>
  <c r="DO54" i="1"/>
  <c r="DN54" i="1"/>
  <c r="DM54" i="1"/>
  <c r="DL54" i="1"/>
  <c r="DK54" i="1"/>
  <c r="DJ54" i="1"/>
  <c r="DI54" i="1"/>
  <c r="DH54" i="1"/>
  <c r="DG54" i="1"/>
  <c r="DF54" i="1"/>
  <c r="DE54" i="1"/>
  <c r="DD54" i="1"/>
  <c r="DC54" i="1"/>
  <c r="DB54" i="1"/>
  <c r="DA54" i="1"/>
  <c r="CZ54" i="1"/>
  <c r="CY54" i="1"/>
  <c r="CX54" i="1"/>
  <c r="CW54" i="1"/>
  <c r="CV54" i="1"/>
  <c r="CU54" i="1"/>
  <c r="CT54" i="1"/>
  <c r="CS54" i="1"/>
  <c r="CR54" i="1"/>
  <c r="CQ54" i="1"/>
  <c r="CP54" i="1"/>
  <c r="CO54" i="1"/>
  <c r="CN54" i="1"/>
  <c r="CL54" i="1"/>
  <c r="CJ54" i="1"/>
  <c r="CI54" i="1"/>
  <c r="CH54" i="1"/>
  <c r="CG54" i="1"/>
  <c r="CF54" i="1"/>
  <c r="CE54" i="1"/>
  <c r="CC54" i="1"/>
  <c r="CB54" i="1"/>
  <c r="CA54" i="1"/>
  <c r="BZ54" i="1"/>
  <c r="BY54" i="1"/>
  <c r="BX54" i="1"/>
  <c r="BW54" i="1"/>
  <c r="BV54" i="1"/>
  <c r="BU54"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L53" i="1"/>
  <c r="CJ53" i="1"/>
  <c r="CI53" i="1"/>
  <c r="CH53" i="1"/>
  <c r="CG53" i="1"/>
  <c r="CF53" i="1"/>
  <c r="CE53" i="1"/>
  <c r="CC53" i="1"/>
  <c r="CB53" i="1"/>
  <c r="CA53" i="1"/>
  <c r="BZ53" i="1"/>
  <c r="BY53" i="1"/>
  <c r="BX53" i="1"/>
  <c r="BW53" i="1"/>
  <c r="BV53" i="1"/>
  <c r="BU53"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L52" i="1"/>
  <c r="CJ52" i="1"/>
  <c r="CI52" i="1"/>
  <c r="CH52" i="1"/>
  <c r="CG52" i="1"/>
  <c r="CF52" i="1"/>
  <c r="CE52" i="1"/>
  <c r="CC52" i="1"/>
  <c r="CB52" i="1"/>
  <c r="CA52" i="1"/>
  <c r="BZ52" i="1"/>
  <c r="BY52" i="1"/>
  <c r="BX52" i="1"/>
  <c r="BW52" i="1"/>
  <c r="BV52" i="1"/>
  <c r="BU52"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L51" i="1"/>
  <c r="CJ51" i="1"/>
  <c r="CI51" i="1"/>
  <c r="CH51" i="1"/>
  <c r="CG51" i="1"/>
  <c r="CF51" i="1"/>
  <c r="CE51" i="1"/>
  <c r="CC51" i="1"/>
  <c r="CB51" i="1"/>
  <c r="CA51" i="1"/>
  <c r="BZ51" i="1"/>
  <c r="BY51" i="1"/>
  <c r="BX51" i="1"/>
  <c r="BW51" i="1"/>
  <c r="BV51" i="1"/>
  <c r="BU51" i="1"/>
  <c r="DV50" i="1"/>
  <c r="DU50" i="1"/>
  <c r="DT50" i="1"/>
  <c r="DS50" i="1"/>
  <c r="DR50" i="1"/>
  <c r="DQ50" i="1"/>
  <c r="DP50" i="1"/>
  <c r="DO50" i="1"/>
  <c r="DN50" i="1"/>
  <c r="DM50" i="1"/>
  <c r="DL50" i="1"/>
  <c r="DK50" i="1"/>
  <c r="DJ50" i="1"/>
  <c r="DI50" i="1"/>
  <c r="DH50" i="1"/>
  <c r="DG50" i="1"/>
  <c r="DF50" i="1"/>
  <c r="DE50" i="1"/>
  <c r="DD50" i="1"/>
  <c r="DC50" i="1"/>
  <c r="DB50" i="1"/>
  <c r="DA50" i="1"/>
  <c r="CZ50" i="1"/>
  <c r="CY50" i="1"/>
  <c r="CX50" i="1"/>
  <c r="CW50" i="1"/>
  <c r="CV50" i="1"/>
  <c r="CU50" i="1"/>
  <c r="CT50" i="1"/>
  <c r="CS50" i="1"/>
  <c r="CR50" i="1"/>
  <c r="CQ50" i="1"/>
  <c r="CP50" i="1"/>
  <c r="CO50" i="1"/>
  <c r="CN50" i="1"/>
  <c r="CL50" i="1"/>
  <c r="CJ50" i="1"/>
  <c r="CI50" i="1"/>
  <c r="CH50" i="1"/>
  <c r="CG50" i="1"/>
  <c r="CF50" i="1"/>
  <c r="CE50" i="1"/>
  <c r="CC50" i="1"/>
  <c r="CB50" i="1"/>
  <c r="CA50" i="1"/>
  <c r="BZ50" i="1"/>
  <c r="BY50" i="1"/>
  <c r="BX50" i="1"/>
  <c r="BW50" i="1"/>
  <c r="BV50" i="1"/>
  <c r="BU50"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L48" i="1"/>
  <c r="CJ48" i="1"/>
  <c r="CI48" i="1"/>
  <c r="CH48" i="1"/>
  <c r="CG48" i="1"/>
  <c r="CF48" i="1"/>
  <c r="CE48" i="1"/>
  <c r="CC48" i="1"/>
  <c r="CB48" i="1"/>
  <c r="CA48" i="1"/>
  <c r="BZ48" i="1"/>
  <c r="BY48" i="1"/>
  <c r="BX48" i="1"/>
  <c r="BW48" i="1"/>
  <c r="BV48" i="1"/>
  <c r="BU48" i="1"/>
  <c r="DQ46" i="5" l="1"/>
  <c r="CG46" i="5"/>
  <c r="CS46" i="5"/>
  <c r="CW46" i="5"/>
  <c r="DM46" i="5"/>
  <c r="CF46" i="5"/>
  <c r="CJ46" i="5"/>
  <c r="CN46" i="5"/>
  <c r="CR46" i="5"/>
  <c r="CV46" i="5"/>
  <c r="CZ46" i="5"/>
  <c r="DD46" i="5"/>
  <c r="DH46" i="5"/>
  <c r="DL46" i="5"/>
  <c r="DP46" i="5"/>
  <c r="CE46" i="5"/>
  <c r="CI46" i="5"/>
  <c r="CM46" i="5"/>
  <c r="CQ46" i="5"/>
  <c r="CU46" i="5"/>
  <c r="CY46" i="5"/>
  <c r="DC46" i="5"/>
  <c r="DG46" i="5"/>
  <c r="DK46" i="5"/>
  <c r="DO46" i="5"/>
  <c r="DS46" i="5"/>
  <c r="CG64" i="5"/>
  <c r="CY64" i="5"/>
  <c r="CC1" i="5"/>
  <c r="CP64" i="5"/>
  <c r="DB64" i="5"/>
  <c r="DW64" i="5"/>
  <c r="CM64" i="5"/>
  <c r="CH46" i="5"/>
  <c r="CL46" i="5"/>
  <c r="CP46" i="5"/>
  <c r="CT46" i="5"/>
  <c r="CX46" i="5"/>
  <c r="DB46" i="5"/>
  <c r="DF46" i="5"/>
  <c r="DJ46" i="5"/>
  <c r="DN46" i="5"/>
  <c r="DR46" i="5"/>
  <c r="DH64" i="5"/>
  <c r="BY1" i="5"/>
  <c r="CN12" i="5"/>
  <c r="CC12" i="5" s="1"/>
  <c r="CN23" i="5"/>
  <c r="CC23" i="5" s="1"/>
  <c r="CN24" i="5"/>
  <c r="CC24" i="5" s="1"/>
  <c r="CN31" i="5"/>
  <c r="CC31" i="5" s="1"/>
  <c r="CN32" i="5"/>
  <c r="CC32" i="5" s="1"/>
  <c r="CN35" i="5"/>
  <c r="CC35" i="5" s="1"/>
  <c r="CN36" i="5"/>
  <c r="CC36" i="5" s="1"/>
  <c r="CN9" i="5"/>
  <c r="CC9" i="5" s="1"/>
  <c r="CN13" i="5"/>
  <c r="CC13" i="5" s="1"/>
  <c r="CN17" i="5"/>
  <c r="CC17" i="5" s="1"/>
  <c r="CN21" i="5"/>
  <c r="CC21" i="5" s="1"/>
  <c r="CN25" i="5"/>
  <c r="CC25" i="5" s="1"/>
  <c r="CN29" i="5"/>
  <c r="CN33" i="5"/>
  <c r="CC33" i="5" s="1"/>
  <c r="CN37" i="5"/>
  <c r="CC37" i="5" s="1"/>
  <c r="CN10" i="5"/>
  <c r="CC10" i="5" s="1"/>
  <c r="CN14" i="5"/>
  <c r="CC14" i="5" s="1"/>
  <c r="CN18" i="5"/>
  <c r="CC18" i="5" s="1"/>
  <c r="CN22" i="5"/>
  <c r="CC22" i="5" s="1"/>
  <c r="CN26" i="5"/>
  <c r="CC26" i="5" s="1"/>
  <c r="CN30" i="5"/>
  <c r="CC30" i="5" s="1"/>
  <c r="CN34" i="5"/>
  <c r="CC34" i="5" s="1"/>
  <c r="CN38" i="5"/>
  <c r="CC38" i="5" s="1"/>
  <c r="CN11" i="5"/>
  <c r="CC11" i="5" s="1"/>
  <c r="CN15" i="5"/>
  <c r="CC15" i="5" s="1"/>
  <c r="CN16" i="5"/>
  <c r="CC16" i="5" s="1"/>
  <c r="CN19" i="5"/>
  <c r="CC19" i="5" s="1"/>
  <c r="CN20" i="5"/>
  <c r="CC20" i="5" s="1"/>
  <c r="CN27" i="5"/>
  <c r="CC27" i="5" s="1"/>
  <c r="CN28" i="5"/>
  <c r="CC28" i="5" s="1"/>
  <c r="CC29" i="5"/>
  <c r="CC2" i="5"/>
  <c r="CD46" i="1"/>
  <c r="BU46" i="1"/>
  <c r="CM46" i="1"/>
  <c r="CK46" i="1"/>
  <c r="CZ63" i="1"/>
  <c r="CY63" i="1"/>
  <c r="CX63" i="1"/>
  <c r="BW63" i="1"/>
  <c r="BV63" i="1"/>
  <c r="BU63" i="1"/>
  <c r="BT63" i="1"/>
  <c r="CW38" i="1"/>
  <c r="CV38" i="1"/>
  <c r="CU38" i="1"/>
  <c r="CT38" i="1"/>
  <c r="CS38" i="1"/>
  <c r="CR38" i="1"/>
  <c r="CQ38" i="1"/>
  <c r="CW37" i="1"/>
  <c r="CV37" i="1"/>
  <c r="CU37" i="1"/>
  <c r="CT37" i="1"/>
  <c r="CS37" i="1"/>
  <c r="CR37" i="1"/>
  <c r="CQ37" i="1"/>
  <c r="CW36" i="1"/>
  <c r="CV36" i="1"/>
  <c r="CU36" i="1"/>
  <c r="CT36" i="1"/>
  <c r="CS36" i="1"/>
  <c r="CR36" i="1"/>
  <c r="CQ36" i="1"/>
  <c r="CW35" i="1"/>
  <c r="CV35" i="1"/>
  <c r="CU35" i="1"/>
  <c r="CT35" i="1"/>
  <c r="CS35" i="1"/>
  <c r="CR35" i="1"/>
  <c r="CQ35" i="1"/>
  <c r="CW34" i="1"/>
  <c r="CV34" i="1"/>
  <c r="CU34" i="1"/>
  <c r="CT34" i="1"/>
  <c r="CS34" i="1"/>
  <c r="CR34" i="1"/>
  <c r="CQ34" i="1"/>
  <c r="CW33" i="1"/>
  <c r="CV33" i="1"/>
  <c r="CU33" i="1"/>
  <c r="CT33" i="1"/>
  <c r="CS33" i="1"/>
  <c r="CR33" i="1"/>
  <c r="CQ33" i="1"/>
  <c r="CW32" i="1"/>
  <c r="CV32" i="1"/>
  <c r="CU32" i="1"/>
  <c r="CT32" i="1"/>
  <c r="CS32" i="1"/>
  <c r="CR32" i="1"/>
  <c r="CQ32" i="1"/>
  <c r="CW31" i="1"/>
  <c r="CV31" i="1"/>
  <c r="CU31" i="1"/>
  <c r="CT31" i="1"/>
  <c r="CS31" i="1"/>
  <c r="CR31" i="1"/>
  <c r="CQ31" i="1"/>
  <c r="CW30" i="1"/>
  <c r="CV30" i="1"/>
  <c r="CU30" i="1"/>
  <c r="CT30" i="1"/>
  <c r="CS30" i="1"/>
  <c r="CR30" i="1"/>
  <c r="CQ30" i="1"/>
  <c r="CW29" i="1"/>
  <c r="CV29" i="1"/>
  <c r="CU29" i="1"/>
  <c r="CT29" i="1"/>
  <c r="CS29" i="1"/>
  <c r="CR29" i="1"/>
  <c r="CQ29" i="1"/>
  <c r="CW28" i="1"/>
  <c r="CV28" i="1"/>
  <c r="CU28" i="1"/>
  <c r="CT28" i="1"/>
  <c r="CS28" i="1"/>
  <c r="CR28" i="1"/>
  <c r="CQ28" i="1"/>
  <c r="CW27" i="1"/>
  <c r="CV27" i="1"/>
  <c r="CU27" i="1"/>
  <c r="CT27" i="1"/>
  <c r="CS27" i="1"/>
  <c r="CR27" i="1"/>
  <c r="CQ27" i="1"/>
  <c r="CW26" i="1"/>
  <c r="CV26" i="1"/>
  <c r="CU26" i="1"/>
  <c r="CT26" i="1"/>
  <c r="CS26" i="1"/>
  <c r="CR26" i="1"/>
  <c r="CQ26" i="1"/>
  <c r="CW25" i="1"/>
  <c r="CV25" i="1"/>
  <c r="CU25" i="1"/>
  <c r="CT25" i="1"/>
  <c r="CS25" i="1"/>
  <c r="CR25" i="1"/>
  <c r="CQ25" i="1"/>
  <c r="CW24" i="1"/>
  <c r="CV24" i="1"/>
  <c r="CU24" i="1"/>
  <c r="CT24" i="1"/>
  <c r="CS24" i="1"/>
  <c r="CR24" i="1"/>
  <c r="CQ24" i="1"/>
  <c r="CW23" i="1"/>
  <c r="CV23" i="1"/>
  <c r="CU23" i="1"/>
  <c r="CT23" i="1"/>
  <c r="CS23" i="1"/>
  <c r="CR23" i="1"/>
  <c r="CQ23" i="1"/>
  <c r="CW22" i="1"/>
  <c r="CV22" i="1"/>
  <c r="CU22" i="1"/>
  <c r="CT22" i="1"/>
  <c r="CS22" i="1"/>
  <c r="CR22" i="1"/>
  <c r="CQ22" i="1"/>
  <c r="CW21" i="1"/>
  <c r="CV21" i="1"/>
  <c r="CU21" i="1"/>
  <c r="CT21" i="1"/>
  <c r="CS21" i="1"/>
  <c r="CR21" i="1"/>
  <c r="CQ21" i="1"/>
  <c r="CW20" i="1"/>
  <c r="CV20" i="1"/>
  <c r="CU20" i="1"/>
  <c r="CT20" i="1"/>
  <c r="CS20" i="1"/>
  <c r="CR20" i="1"/>
  <c r="CQ20" i="1"/>
  <c r="CW19" i="1"/>
  <c r="CV19" i="1"/>
  <c r="CU19" i="1"/>
  <c r="CT19" i="1"/>
  <c r="CS19" i="1"/>
  <c r="CR19" i="1"/>
  <c r="CQ19" i="1"/>
  <c r="CW18" i="1"/>
  <c r="CV18" i="1"/>
  <c r="CU18" i="1"/>
  <c r="CT18" i="1"/>
  <c r="CS18" i="1"/>
  <c r="CR18" i="1"/>
  <c r="CQ18" i="1"/>
  <c r="CW17" i="1"/>
  <c r="CV17" i="1"/>
  <c r="CU17" i="1"/>
  <c r="CT17" i="1"/>
  <c r="CS17" i="1"/>
  <c r="CR17" i="1"/>
  <c r="CQ17" i="1"/>
  <c r="CW16" i="1"/>
  <c r="CV16" i="1"/>
  <c r="CU16" i="1"/>
  <c r="CT16" i="1"/>
  <c r="CS16" i="1"/>
  <c r="CR16" i="1"/>
  <c r="CQ16" i="1"/>
  <c r="CW15" i="1"/>
  <c r="CV15" i="1"/>
  <c r="CU15" i="1"/>
  <c r="CT15" i="1"/>
  <c r="CS15" i="1"/>
  <c r="CR15" i="1"/>
  <c r="CQ15" i="1"/>
  <c r="CW14" i="1"/>
  <c r="CV14" i="1"/>
  <c r="CU14" i="1"/>
  <c r="CT14" i="1"/>
  <c r="CS14" i="1"/>
  <c r="CR14" i="1"/>
  <c r="CQ14" i="1"/>
  <c r="CW13" i="1"/>
  <c r="CV13" i="1"/>
  <c r="CU13" i="1"/>
  <c r="CT13" i="1"/>
  <c r="CS13" i="1"/>
  <c r="CR13" i="1"/>
  <c r="CQ13" i="1"/>
  <c r="CW12" i="1"/>
  <c r="CV12" i="1"/>
  <c r="CU12" i="1"/>
  <c r="CT12" i="1"/>
  <c r="CS12" i="1"/>
  <c r="CR12" i="1"/>
  <c r="CQ12" i="1"/>
  <c r="CW11" i="1"/>
  <c r="CV11" i="1"/>
  <c r="CU11" i="1"/>
  <c r="CT11" i="1"/>
  <c r="CS11" i="1"/>
  <c r="CR11" i="1"/>
  <c r="CQ11" i="1"/>
  <c r="CW10" i="1"/>
  <c r="CV10" i="1"/>
  <c r="CU10" i="1"/>
  <c r="CT10" i="1"/>
  <c r="CS10" i="1"/>
  <c r="CR10" i="1"/>
  <c r="CQ10" i="1"/>
  <c r="CW9" i="1"/>
  <c r="CV9" i="1"/>
  <c r="CU9" i="1"/>
  <c r="CT9" i="1"/>
  <c r="CS9" i="1"/>
  <c r="CR9" i="1"/>
  <c r="CQ9" i="1"/>
  <c r="CN38" i="1"/>
  <c r="CM38" i="1"/>
  <c r="CL38" i="1"/>
  <c r="CK38" i="1"/>
  <c r="CJ38" i="1"/>
  <c r="CI38" i="1"/>
  <c r="CH38" i="1"/>
  <c r="CG38" i="1"/>
  <c r="CF38" i="1"/>
  <c r="CE38" i="1"/>
  <c r="CN37" i="1"/>
  <c r="CM37" i="1"/>
  <c r="CL37" i="1"/>
  <c r="CK37" i="1"/>
  <c r="CJ37" i="1"/>
  <c r="CI37" i="1"/>
  <c r="CH37" i="1"/>
  <c r="CG37" i="1"/>
  <c r="CF37" i="1"/>
  <c r="CE37" i="1"/>
  <c r="CN36" i="1"/>
  <c r="CM36" i="1"/>
  <c r="CL36" i="1"/>
  <c r="CK36" i="1"/>
  <c r="CJ36" i="1"/>
  <c r="CI36" i="1"/>
  <c r="CH36" i="1"/>
  <c r="CG36" i="1"/>
  <c r="CF36" i="1"/>
  <c r="CE36" i="1"/>
  <c r="CN35" i="1"/>
  <c r="CM35" i="1"/>
  <c r="CL35" i="1"/>
  <c r="CK35" i="1"/>
  <c r="CJ35" i="1"/>
  <c r="CI35" i="1"/>
  <c r="CH35" i="1"/>
  <c r="CG35" i="1"/>
  <c r="CF35" i="1"/>
  <c r="CE35" i="1"/>
  <c r="CN34" i="1"/>
  <c r="CM34" i="1"/>
  <c r="CL34" i="1"/>
  <c r="CK34" i="1"/>
  <c r="CJ34" i="1"/>
  <c r="CI34" i="1"/>
  <c r="CH34" i="1"/>
  <c r="CG34" i="1"/>
  <c r="CF34" i="1"/>
  <c r="CE34" i="1"/>
  <c r="CN33" i="1"/>
  <c r="CM33" i="1"/>
  <c r="CL33" i="1"/>
  <c r="CK33" i="1"/>
  <c r="CJ33" i="1"/>
  <c r="CI33" i="1"/>
  <c r="CH33" i="1"/>
  <c r="CG33" i="1"/>
  <c r="CF33" i="1"/>
  <c r="CE33" i="1"/>
  <c r="CN32" i="1"/>
  <c r="CM32" i="1"/>
  <c r="CL32" i="1"/>
  <c r="CK32" i="1"/>
  <c r="CJ32" i="1"/>
  <c r="CI32" i="1"/>
  <c r="CH32" i="1"/>
  <c r="CG32" i="1"/>
  <c r="CF32" i="1"/>
  <c r="CE32" i="1"/>
  <c r="CN31" i="1"/>
  <c r="CM31" i="1"/>
  <c r="CL31" i="1"/>
  <c r="CK31" i="1"/>
  <c r="CJ31" i="1"/>
  <c r="CI31" i="1"/>
  <c r="CH31" i="1"/>
  <c r="CG31" i="1"/>
  <c r="CF31" i="1"/>
  <c r="CE31" i="1"/>
  <c r="CN30" i="1"/>
  <c r="CM30" i="1"/>
  <c r="CL30" i="1"/>
  <c r="CK30" i="1"/>
  <c r="CJ30" i="1"/>
  <c r="CI30" i="1"/>
  <c r="CH30" i="1"/>
  <c r="CG30" i="1"/>
  <c r="CF30" i="1"/>
  <c r="CE30" i="1"/>
  <c r="CN29" i="1"/>
  <c r="CM29" i="1"/>
  <c r="CL29" i="1"/>
  <c r="CK29" i="1"/>
  <c r="CJ29" i="1"/>
  <c r="CI29" i="1"/>
  <c r="CH29" i="1"/>
  <c r="CG29" i="1"/>
  <c r="CF29" i="1"/>
  <c r="CE29" i="1"/>
  <c r="CN28" i="1"/>
  <c r="CM28" i="1"/>
  <c r="CL28" i="1"/>
  <c r="CK28" i="1"/>
  <c r="CJ28" i="1"/>
  <c r="CI28" i="1"/>
  <c r="CH28" i="1"/>
  <c r="CG28" i="1"/>
  <c r="CF28" i="1"/>
  <c r="CE28" i="1"/>
  <c r="CN27" i="1"/>
  <c r="CM27" i="1"/>
  <c r="CL27" i="1"/>
  <c r="CK27" i="1"/>
  <c r="CJ27" i="1"/>
  <c r="CI27" i="1"/>
  <c r="CH27" i="1"/>
  <c r="CG27" i="1"/>
  <c r="CF27" i="1"/>
  <c r="CE27" i="1"/>
  <c r="CN26" i="1"/>
  <c r="CM26" i="1"/>
  <c r="CL26" i="1"/>
  <c r="CK26" i="1"/>
  <c r="CJ26" i="1"/>
  <c r="CI26" i="1"/>
  <c r="CH26" i="1"/>
  <c r="CG26" i="1"/>
  <c r="CF26" i="1"/>
  <c r="CE26" i="1"/>
  <c r="CN25" i="1"/>
  <c r="CM25" i="1"/>
  <c r="CL25" i="1"/>
  <c r="CK25" i="1"/>
  <c r="CJ25" i="1"/>
  <c r="CI25" i="1"/>
  <c r="CH25" i="1"/>
  <c r="CG25" i="1"/>
  <c r="CF25" i="1"/>
  <c r="CE25" i="1"/>
  <c r="CN24" i="1"/>
  <c r="CM24" i="1"/>
  <c r="CL24" i="1"/>
  <c r="CK24" i="1"/>
  <c r="CJ24" i="1"/>
  <c r="CI24" i="1"/>
  <c r="CH24" i="1"/>
  <c r="CG24" i="1"/>
  <c r="CF24" i="1"/>
  <c r="CE24" i="1"/>
  <c r="CN23" i="1"/>
  <c r="CM23" i="1"/>
  <c r="CL23" i="1"/>
  <c r="CK23" i="1"/>
  <c r="CJ23" i="1"/>
  <c r="CI23" i="1"/>
  <c r="CH23" i="1"/>
  <c r="CG23" i="1"/>
  <c r="CF23" i="1"/>
  <c r="CE23" i="1"/>
  <c r="CN22" i="1"/>
  <c r="CM22" i="1"/>
  <c r="CL22" i="1"/>
  <c r="CK22" i="1"/>
  <c r="CJ22" i="1"/>
  <c r="CI22" i="1"/>
  <c r="CH22" i="1"/>
  <c r="CG22" i="1"/>
  <c r="CF22" i="1"/>
  <c r="CE22" i="1"/>
  <c r="CN21" i="1"/>
  <c r="CM21" i="1"/>
  <c r="CL21" i="1"/>
  <c r="CK21" i="1"/>
  <c r="CJ21" i="1"/>
  <c r="CI21" i="1"/>
  <c r="CH21" i="1"/>
  <c r="CG21" i="1"/>
  <c r="CF21" i="1"/>
  <c r="CE21" i="1"/>
  <c r="CN20" i="1"/>
  <c r="CM20" i="1"/>
  <c r="CL20" i="1"/>
  <c r="CK20" i="1"/>
  <c r="CJ20" i="1"/>
  <c r="CI20" i="1"/>
  <c r="CH20" i="1"/>
  <c r="CG20" i="1"/>
  <c r="CF20" i="1"/>
  <c r="CE20" i="1"/>
  <c r="CN19" i="1"/>
  <c r="CM19" i="1"/>
  <c r="CL19" i="1"/>
  <c r="CK19" i="1"/>
  <c r="CJ19" i="1"/>
  <c r="CI19" i="1"/>
  <c r="CH19" i="1"/>
  <c r="CG19" i="1"/>
  <c r="CF19" i="1"/>
  <c r="CE19" i="1"/>
  <c r="CN18" i="1"/>
  <c r="CM18" i="1"/>
  <c r="CL18" i="1"/>
  <c r="CK18" i="1"/>
  <c r="CJ18" i="1"/>
  <c r="CI18" i="1"/>
  <c r="CH18" i="1"/>
  <c r="CG18" i="1"/>
  <c r="CF18" i="1"/>
  <c r="CE18" i="1"/>
  <c r="CN17" i="1"/>
  <c r="CM17" i="1"/>
  <c r="CL17" i="1"/>
  <c r="CK17" i="1"/>
  <c r="CJ17" i="1"/>
  <c r="CI17" i="1"/>
  <c r="CH17" i="1"/>
  <c r="CG17" i="1"/>
  <c r="CF17" i="1"/>
  <c r="CE17" i="1"/>
  <c r="CN16" i="1"/>
  <c r="CM16" i="1"/>
  <c r="CL16" i="1"/>
  <c r="CK16" i="1"/>
  <c r="CJ16" i="1"/>
  <c r="CI16" i="1"/>
  <c r="CH16" i="1"/>
  <c r="CG16" i="1"/>
  <c r="CF16" i="1"/>
  <c r="CE16" i="1"/>
  <c r="CN15" i="1"/>
  <c r="CM15" i="1"/>
  <c r="CL15" i="1"/>
  <c r="CK15" i="1"/>
  <c r="CJ15" i="1"/>
  <c r="CI15" i="1"/>
  <c r="CH15" i="1"/>
  <c r="CG15" i="1"/>
  <c r="CF15" i="1"/>
  <c r="CE15" i="1"/>
  <c r="CN14" i="1"/>
  <c r="CM14" i="1"/>
  <c r="CL14" i="1"/>
  <c r="CK14" i="1"/>
  <c r="CJ14" i="1"/>
  <c r="CI14" i="1"/>
  <c r="CH14" i="1"/>
  <c r="CG14" i="1"/>
  <c r="CF14" i="1"/>
  <c r="CE14" i="1"/>
  <c r="CN13" i="1"/>
  <c r="CM13" i="1"/>
  <c r="CL13" i="1"/>
  <c r="CK13" i="1"/>
  <c r="CJ13" i="1"/>
  <c r="CI13" i="1"/>
  <c r="CH13" i="1"/>
  <c r="CG13" i="1"/>
  <c r="CF13" i="1"/>
  <c r="CE13" i="1"/>
  <c r="CN12" i="1"/>
  <c r="CM12" i="1"/>
  <c r="CL12" i="1"/>
  <c r="CK12" i="1"/>
  <c r="CJ12" i="1"/>
  <c r="CI12" i="1"/>
  <c r="CH12" i="1"/>
  <c r="CG12" i="1"/>
  <c r="CF12" i="1"/>
  <c r="CE12" i="1"/>
  <c r="CN11" i="1"/>
  <c r="CM11" i="1"/>
  <c r="CL11" i="1"/>
  <c r="CK11" i="1"/>
  <c r="CJ11" i="1"/>
  <c r="CI11" i="1"/>
  <c r="CH11" i="1"/>
  <c r="CG11" i="1"/>
  <c r="CF11" i="1"/>
  <c r="CE11" i="1"/>
  <c r="CN10" i="1"/>
  <c r="CM10" i="1"/>
  <c r="CL10" i="1"/>
  <c r="CK10" i="1"/>
  <c r="CJ10" i="1"/>
  <c r="CI10" i="1"/>
  <c r="CH10" i="1"/>
  <c r="CG10" i="1"/>
  <c r="CF10" i="1"/>
  <c r="CE10" i="1"/>
  <c r="CH9" i="1"/>
  <c r="BY3" i="5" l="1"/>
  <c r="CO24" i="1"/>
  <c r="CD24" i="1" s="1"/>
  <c r="CO28" i="1"/>
  <c r="CD28" i="1" s="1"/>
  <c r="CO18" i="1"/>
  <c r="CD18" i="1" s="1"/>
  <c r="CO22" i="1"/>
  <c r="CD22" i="1" s="1"/>
  <c r="CO26" i="1"/>
  <c r="CD26" i="1" s="1"/>
  <c r="CO20" i="1"/>
  <c r="CD20" i="1" s="1"/>
  <c r="BW64" i="1"/>
  <c r="CO38" i="1"/>
  <c r="CD38" i="1" s="1"/>
  <c r="CO36" i="1"/>
  <c r="CD36" i="1" s="1"/>
  <c r="CO32" i="1"/>
  <c r="CD32" i="1" s="1"/>
  <c r="CO34" i="1"/>
  <c r="CD34" i="1" s="1"/>
  <c r="CO30" i="1"/>
  <c r="CD30" i="1" s="1"/>
  <c r="BN1" i="1"/>
  <c r="CO19" i="1"/>
  <c r="CD19" i="1" s="1"/>
  <c r="CO21" i="1"/>
  <c r="CD21" i="1" s="1"/>
  <c r="CO23" i="1"/>
  <c r="CD23" i="1" s="1"/>
  <c r="CO25" i="1"/>
  <c r="CD25" i="1" s="1"/>
  <c r="CO27" i="1"/>
  <c r="CD27" i="1" s="1"/>
  <c r="CO29" i="1"/>
  <c r="CD29" i="1" s="1"/>
  <c r="CO31" i="1"/>
  <c r="CD31" i="1" s="1"/>
  <c r="CO33" i="1"/>
  <c r="CD33" i="1" s="1"/>
  <c r="CO35" i="1"/>
  <c r="CD35" i="1" s="1"/>
  <c r="CO37" i="1"/>
  <c r="CD37" i="1" s="1"/>
  <c r="CO17" i="1"/>
  <c r="CD17" i="1" s="1"/>
  <c r="BS1" i="1"/>
  <c r="BS2" i="1"/>
  <c r="CO16" i="1"/>
  <c r="CD16" i="1" s="1"/>
  <c r="CO15" i="1"/>
  <c r="CD15" i="1" s="1"/>
  <c r="CO14" i="1"/>
  <c r="CD14" i="1" s="1"/>
  <c r="CO13" i="1"/>
  <c r="CD13" i="1" s="1"/>
  <c r="CO12" i="1"/>
  <c r="CD12" i="1" s="1"/>
  <c r="CO11" i="1"/>
  <c r="CD11" i="1" s="1"/>
  <c r="CO10" i="1"/>
  <c r="CD10" i="1" s="1"/>
  <c r="BZ63" i="1"/>
  <c r="BY63" i="1"/>
  <c r="DB63" i="1" l="1"/>
  <c r="DC63" i="1"/>
  <c r="DD63" i="1"/>
  <c r="DE63" i="1"/>
  <c r="DF63" i="1"/>
  <c r="DG63" i="1"/>
  <c r="DH63" i="1"/>
  <c r="DI63" i="1"/>
  <c r="DJ63" i="1"/>
  <c r="DK63" i="1"/>
  <c r="DL63" i="1"/>
  <c r="DA63" i="1"/>
  <c r="CS63" i="1"/>
  <c r="CT63" i="1"/>
  <c r="CU63" i="1"/>
  <c r="CV63" i="1"/>
  <c r="CW63" i="1"/>
  <c r="CR63" i="1"/>
  <c r="CP63" i="1"/>
  <c r="CQ63" i="1"/>
  <c r="CO63" i="1"/>
  <c r="CG63" i="1"/>
  <c r="CH63" i="1"/>
  <c r="CI63" i="1"/>
  <c r="CJ63" i="1"/>
  <c r="CK63" i="1"/>
  <c r="CL63" i="1"/>
  <c r="CM63" i="1"/>
  <c r="CN63" i="1"/>
  <c r="CF63" i="1"/>
  <c r="CD63" i="1"/>
  <c r="CE63" i="1"/>
  <c r="CA63" i="1"/>
  <c r="CB63" i="1"/>
  <c r="CC63" i="1"/>
  <c r="BX63"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DL64" i="1" l="1"/>
  <c r="CW64" i="1"/>
  <c r="CE64" i="1"/>
  <c r="CC64" i="1"/>
  <c r="CQ64" i="1"/>
  <c r="CN64" i="1"/>
  <c r="CN46" i="1" l="1"/>
  <c r="CL46" i="1"/>
  <c r="CJ46" i="1"/>
  <c r="CI46" i="1"/>
  <c r="CH46" i="1"/>
  <c r="CG46" i="1"/>
  <c r="CF46" i="1"/>
  <c r="CE46" i="1"/>
  <c r="CC46" i="1" l="1"/>
  <c r="CB46" i="1"/>
  <c r="CA46" i="1"/>
  <c r="BZ46" i="1"/>
  <c r="BY46" i="1"/>
  <c r="BX46" i="1"/>
  <c r="BW46" i="1"/>
  <c r="BV46" i="1"/>
  <c r="CN9" i="1" l="1"/>
  <c r="CM9" i="1"/>
  <c r="CL9" i="1"/>
  <c r="CK9" i="1"/>
  <c r="CJ9" i="1"/>
  <c r="CI9" i="1"/>
  <c r="CG9" i="1"/>
  <c r="CF9" i="1"/>
  <c r="CE9" i="1"/>
  <c r="CO9" i="1" l="1"/>
  <c r="CD9" i="1" s="1"/>
  <c r="BN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y-okuda</author>
  </authors>
  <commentList>
    <comment ref="Q5" authorId="0" shapeId="0" xr:uid="{00000000-0006-0000-0000-000002000000}">
      <text>
        <r>
          <rPr>
            <b/>
            <sz val="12"/>
            <color indexed="10"/>
            <rFont val="ＭＳ Ｐゴシック"/>
            <family val="3"/>
            <charset val="128"/>
          </rPr>
          <t>任意の数字でよいが、確実に記載のこと。
必ず、同一校は同一の番号とすること。</t>
        </r>
      </text>
    </comment>
    <comment ref="R5" authorId="1" shapeId="0" xr:uid="{00000000-0006-0000-0000-000003000000}">
      <text>
        <r>
          <rPr>
            <b/>
            <sz val="10"/>
            <color indexed="81"/>
            <rFont val="ＭＳ Ｐゴシック"/>
            <family val="3"/>
            <charset val="128"/>
          </rPr>
          <t>記入例：５人（中３）、２人（中１）</t>
        </r>
      </text>
    </comment>
    <comment ref="BQ5" authorId="1" shapeId="0" xr:uid="{00000000-0006-0000-0000-000004000000}">
      <text>
        <r>
          <rPr>
            <b/>
            <sz val="10"/>
            <color indexed="81"/>
            <rFont val="ＭＳ Ｐゴシック"/>
            <family val="3"/>
            <charset val="128"/>
          </rPr>
          <t>ア素手で殴る・叩く
イ棒などで殴る・叩く
ウ蹴る・踏みつける
エ投げる・突き飛ばす・転倒させる
オつねる・ひっかく
カ物をぶつける・投げつける
キ長時間教室等に留め置く
ク長時間正座など一定の姿勢を保持させる
ケその他</t>
        </r>
      </text>
    </comment>
    <comment ref="BR5" authorId="1" shapeId="0" xr:uid="{00000000-0006-0000-0000-000005000000}">
      <text>
        <r>
          <rPr>
            <b/>
            <sz val="10"/>
            <color indexed="81"/>
            <rFont val="ＭＳ Ｐゴシック"/>
            <family val="3"/>
            <charset val="128"/>
          </rPr>
          <t>ア死亡
イ骨折・挫折など
ウ鼓膜損傷
エ外傷
オ打撲（頭）
カ打撲（顔）
キ打撲（足）
ク打撲（オ～キ以外）
ケ鼻血
コ髪を切られる
サその他
シ傷害なし</t>
        </r>
      </text>
    </comment>
    <comment ref="N8" authorId="0" shapeId="0" xr:uid="{00000000-0006-0000-0000-000006000000}">
      <text>
        <r>
          <rPr>
            <b/>
            <sz val="10"/>
            <color indexed="81"/>
            <rFont val="ＭＳ Ｐゴシック"/>
            <family val="3"/>
            <charset val="128"/>
          </rPr>
          <t>ア幼稚園
イ小学校
ウ中学校
エ義務教育学校
オ高等学校
カ中等教育学校
キ特別支援学校</t>
        </r>
      </text>
    </comment>
    <comment ref="O8" authorId="0" shapeId="0" xr:uid="{00000000-0006-0000-0000-000007000000}">
      <text>
        <r>
          <rPr>
            <b/>
            <sz val="10"/>
            <color indexed="81"/>
            <rFont val="ＭＳ Ｐゴシック"/>
            <family val="3"/>
            <charset val="128"/>
          </rPr>
          <t>ア２０歳代
イ３０歳代
ウ４０歳代
エ５０歳代
オ６０歳代以上</t>
        </r>
        <r>
          <rPr>
            <b/>
            <sz val="12"/>
            <color indexed="81"/>
            <rFont val="ＭＳ Ｐゴシック"/>
            <family val="3"/>
            <charset val="128"/>
          </rPr>
          <t xml:space="preserve">
</t>
        </r>
      </text>
    </comment>
    <comment ref="P8" authorId="0" shapeId="0" xr:uid="{00000000-0006-0000-0000-000008000000}">
      <text>
        <r>
          <rPr>
            <b/>
            <sz val="10"/>
            <color indexed="81"/>
            <rFont val="ＭＳ Ｐゴシック"/>
            <family val="3"/>
            <charset val="128"/>
          </rPr>
          <t>ア男性
イ女性</t>
        </r>
      </text>
    </comment>
    <comment ref="BO8" authorId="1" shapeId="0" xr:uid="{00000000-0006-0000-0000-000009000000}">
      <text>
        <r>
          <rPr>
            <b/>
            <sz val="10"/>
            <color indexed="81"/>
            <rFont val="ＭＳ Ｐゴシック"/>
            <family val="3"/>
            <charset val="128"/>
          </rPr>
          <t>ア授業中・保育中
イ放課後
ウ休み時間
エ部活動
オ学校行事
カホームルーム
キその他</t>
        </r>
      </text>
    </comment>
    <comment ref="BP8" authorId="1" shapeId="0" xr:uid="{00000000-0006-0000-0000-00000A000000}">
      <text>
        <r>
          <rPr>
            <b/>
            <sz val="10"/>
            <color indexed="81"/>
            <rFont val="ＭＳ Ｐゴシック"/>
            <family val="3"/>
            <charset val="128"/>
          </rPr>
          <t>ア教室
イ職員室
ウ運動場・園庭、体育館・遊戯室
エ生徒指導室
オ廊下、階段
カその他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y-okuda</author>
  </authors>
  <commentList>
    <comment ref="Q5" authorId="0" shapeId="0" xr:uid="{79EC631B-8A50-40EC-B3BC-BD8228215908}">
      <text>
        <r>
          <rPr>
            <b/>
            <sz val="12"/>
            <color indexed="10"/>
            <rFont val="ＭＳ Ｐゴシック"/>
            <family val="3"/>
            <charset val="128"/>
          </rPr>
          <t>任意の数字でよいが、確実に記載のこと。
必ず、同一校は同一の番号とすること。</t>
        </r>
      </text>
    </comment>
    <comment ref="R5" authorId="1" shapeId="0" xr:uid="{239B26B5-CF35-4BCF-8296-B01CC8FD35C7}">
      <text>
        <r>
          <rPr>
            <b/>
            <sz val="10"/>
            <color indexed="81"/>
            <rFont val="ＭＳ Ｐゴシック"/>
            <family val="3"/>
            <charset val="128"/>
          </rPr>
          <t>記入例：５人（中３）、２人（中１）</t>
        </r>
      </text>
    </comment>
    <comment ref="BQ5" authorId="1" shapeId="0" xr:uid="{D1381C42-98B1-41BC-A3D4-569BC34B51C9}">
      <text>
        <r>
          <rPr>
            <b/>
            <sz val="10"/>
            <color indexed="81"/>
            <rFont val="ＭＳ Ｐゴシック"/>
            <family val="3"/>
            <charset val="128"/>
          </rPr>
          <t>ア素手で殴る・叩く
イ棒などで殴る・叩く
ウ蹴る・踏みつける
エ投げる・突き飛ばす・転倒させる
オつねる・ひっかく
カ物をぶつける・投げつける
キ長時間教室等に留め置く
ク長時間正座など一定の姿勢を保持させる
ケその他</t>
        </r>
      </text>
    </comment>
    <comment ref="N8" authorId="0" shapeId="0" xr:uid="{7405C7C0-5796-4972-B1F8-41484443D611}">
      <text>
        <r>
          <rPr>
            <b/>
            <sz val="10"/>
            <color indexed="81"/>
            <rFont val="ＭＳ Ｐゴシック"/>
            <family val="3"/>
            <charset val="128"/>
          </rPr>
          <t>ア幼稚園
イ小学校
ウ中学校
エ義務教育学校
オ高等学校
カ中等教育学校
キ特別支援学校</t>
        </r>
      </text>
    </comment>
    <comment ref="O8" authorId="0" shapeId="0" xr:uid="{4369B78C-3321-489E-8A8D-4F5CC794D362}">
      <text>
        <r>
          <rPr>
            <b/>
            <sz val="10"/>
            <color indexed="81"/>
            <rFont val="ＭＳ Ｐゴシック"/>
            <family val="3"/>
            <charset val="128"/>
          </rPr>
          <t>ア２０歳代
イ３０歳代
ウ４０歳代
エ５０歳代
オ６０歳代以上</t>
        </r>
        <r>
          <rPr>
            <b/>
            <sz val="12"/>
            <color indexed="81"/>
            <rFont val="ＭＳ Ｐゴシック"/>
            <family val="3"/>
            <charset val="128"/>
          </rPr>
          <t xml:space="preserve">
</t>
        </r>
      </text>
    </comment>
    <comment ref="P8" authorId="0" shapeId="0" xr:uid="{98920A5A-2C4A-4022-A112-A26343AFEFA7}">
      <text>
        <r>
          <rPr>
            <b/>
            <sz val="10"/>
            <color indexed="81"/>
            <rFont val="ＭＳ Ｐゴシック"/>
            <family val="3"/>
            <charset val="128"/>
          </rPr>
          <t>ア男性
イ女性</t>
        </r>
      </text>
    </comment>
    <comment ref="BO8" authorId="1" shapeId="0" xr:uid="{9D8EEA13-7CF4-4B45-B25A-DF112D309906}">
      <text>
        <r>
          <rPr>
            <b/>
            <sz val="10"/>
            <color indexed="81"/>
            <rFont val="ＭＳ Ｐゴシック"/>
            <family val="3"/>
            <charset val="128"/>
          </rPr>
          <t>ア授業中・保育中
イ放課後
ウ休み時間
エ部活動
オ学校行事
カホームルーム
キその他</t>
        </r>
      </text>
    </comment>
    <comment ref="BP8" authorId="1" shapeId="0" xr:uid="{AD7A8052-F0BD-4C4E-8BA3-769E40DB83E0}">
      <text>
        <r>
          <rPr>
            <b/>
            <sz val="10"/>
            <color indexed="81"/>
            <rFont val="ＭＳ Ｐゴシック"/>
            <family val="3"/>
            <charset val="128"/>
          </rPr>
          <t>ア教室
イ職員室
ウ運動場・園庭、体育館・遊戯室
エ生徒指導室
オ廊下、階段
カその他</t>
        </r>
      </text>
    </comment>
  </commentList>
</comments>
</file>

<file path=xl/sharedStrings.xml><?xml version="1.0" encoding="utf-8"?>
<sst xmlns="http://schemas.openxmlformats.org/spreadsheetml/2006/main" count="620" uniqueCount="215">
  <si>
    <t>所属課名</t>
    <rPh sb="0" eb="2">
      <t>ショゾク</t>
    </rPh>
    <rPh sb="2" eb="3">
      <t>カ</t>
    </rPh>
    <rPh sb="3" eb="4">
      <t>メイ</t>
    </rPh>
    <phoneticPr fontId="5"/>
  </si>
  <si>
    <t>記入者名</t>
    <rPh sb="0" eb="3">
      <t>キニュウシャ</t>
    </rPh>
    <rPh sb="3" eb="4">
      <t>メイ</t>
    </rPh>
    <phoneticPr fontId="5"/>
  </si>
  <si>
    <t>e-mail</t>
    <phoneticPr fontId="5"/>
  </si>
  <si>
    <t>被害を受けた児童生徒人数</t>
    <rPh sb="0" eb="2">
      <t>ヒガイ</t>
    </rPh>
    <rPh sb="3" eb="4">
      <t>ウ</t>
    </rPh>
    <rPh sb="6" eb="8">
      <t>ジドウ</t>
    </rPh>
    <rPh sb="8" eb="10">
      <t>セイト</t>
    </rPh>
    <rPh sb="10" eb="12">
      <t>ニンズウ</t>
    </rPh>
    <phoneticPr fontId="5"/>
  </si>
  <si>
    <t>体罰時の状況</t>
    <rPh sb="0" eb="2">
      <t>タイバツ</t>
    </rPh>
    <rPh sb="2" eb="3">
      <t>ジ</t>
    </rPh>
    <rPh sb="4" eb="6">
      <t>ジョウキョウ</t>
    </rPh>
    <phoneticPr fontId="5"/>
  </si>
  <si>
    <t>体罰の態様</t>
    <rPh sb="0" eb="2">
      <t>タイバツ</t>
    </rPh>
    <rPh sb="3" eb="5">
      <t>タイヨウ</t>
    </rPh>
    <phoneticPr fontId="5"/>
  </si>
  <si>
    <t>被害の状況</t>
    <rPh sb="0" eb="2">
      <t>ヒガイ</t>
    </rPh>
    <rPh sb="3" eb="5">
      <t>ジョウキョウ</t>
    </rPh>
    <phoneticPr fontId="5"/>
  </si>
  <si>
    <t>体罰事案の把握のきっかけ</t>
    <rPh sb="0" eb="2">
      <t>タイバツ</t>
    </rPh>
    <rPh sb="2" eb="4">
      <t>ジアン</t>
    </rPh>
    <rPh sb="5" eb="7">
      <t>ハアク</t>
    </rPh>
    <phoneticPr fontId="5"/>
  </si>
  <si>
    <t>事実関係の把握の手法</t>
    <rPh sb="0" eb="2">
      <t>ジジツ</t>
    </rPh>
    <rPh sb="2" eb="4">
      <t>カンケイ</t>
    </rPh>
    <rPh sb="5" eb="7">
      <t>ハアク</t>
    </rPh>
    <rPh sb="8" eb="10">
      <t>シュホウ</t>
    </rPh>
    <phoneticPr fontId="5"/>
  </si>
  <si>
    <t>学校種</t>
    <rPh sb="0" eb="2">
      <t>ガッコウ</t>
    </rPh>
    <rPh sb="2" eb="3">
      <t>シュ</t>
    </rPh>
    <phoneticPr fontId="5"/>
  </si>
  <si>
    <t>年代</t>
    <rPh sb="0" eb="2">
      <t>ネンダイ</t>
    </rPh>
    <phoneticPr fontId="5"/>
  </si>
  <si>
    <t>性別</t>
    <rPh sb="0" eb="2">
      <t>セイベツ</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</si>
  <si>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</si>
  <si>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</si>
  <si>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</si>
  <si>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中等教育学校</t>
    <rPh sb="0" eb="2">
      <t>チュウトウ</t>
    </rPh>
    <rPh sb="2" eb="4">
      <t>キョウイク</t>
    </rPh>
    <rPh sb="4" eb="6">
      <t>ガッコウ</t>
    </rPh>
    <phoneticPr fontId="5"/>
  </si>
  <si>
    <t>特別支援学校</t>
    <rPh sb="0" eb="2">
      <t>トクベツ</t>
    </rPh>
    <rPh sb="2" eb="4">
      <t>シエン</t>
    </rPh>
    <rPh sb="4" eb="6">
      <t>ガッコウ</t>
    </rPh>
    <phoneticPr fontId="5"/>
  </si>
  <si>
    <t>イ保護者の訴え</t>
    <rPh sb="1" eb="4">
      <t>ホゴシャ</t>
    </rPh>
    <rPh sb="5" eb="6">
      <t>ウッタ</t>
    </rPh>
    <phoneticPr fontId="5"/>
  </si>
  <si>
    <t>ウ教員の申告</t>
    <rPh sb="1" eb="3">
      <t>キョウイン</t>
    </rPh>
    <rPh sb="4" eb="6">
      <t>シンコク</t>
    </rPh>
    <phoneticPr fontId="5"/>
  </si>
  <si>
    <t>エ第三者の通報</t>
    <rPh sb="1" eb="4">
      <t>ダイサンシャ</t>
    </rPh>
    <rPh sb="5" eb="7">
      <t>ツウホウ</t>
    </rPh>
    <phoneticPr fontId="5"/>
  </si>
  <si>
    <t>オその他</t>
    <rPh sb="3" eb="4">
      <t>タ</t>
    </rPh>
    <phoneticPr fontId="5"/>
  </si>
  <si>
    <t>ア当事者教員</t>
    <rPh sb="1" eb="4">
      <t>トウジシャ</t>
    </rPh>
    <rPh sb="4" eb="6">
      <t>キョウイン</t>
    </rPh>
    <phoneticPr fontId="5"/>
  </si>
  <si>
    <t>イその他教員</t>
    <rPh sb="3" eb="4">
      <t>タ</t>
    </rPh>
    <rPh sb="4" eb="6">
      <t>キョウイン</t>
    </rPh>
    <phoneticPr fontId="5"/>
  </si>
  <si>
    <t>オ保護者</t>
    <rPh sb="1" eb="4">
      <t>ホゴシャ</t>
    </rPh>
    <phoneticPr fontId="5"/>
  </si>
  <si>
    <t>カその他（第三者）</t>
    <rPh sb="3" eb="4">
      <t>タ</t>
    </rPh>
    <rPh sb="5" eb="8">
      <t>ダイサンシャ</t>
    </rPh>
    <phoneticPr fontId="5"/>
  </si>
  <si>
    <t>前期</t>
    <rPh sb="0" eb="2">
      <t>ゼンキ</t>
    </rPh>
    <phoneticPr fontId="5"/>
  </si>
  <si>
    <t>後期</t>
    <rPh sb="0" eb="2">
      <t>コウキ</t>
    </rPh>
    <phoneticPr fontId="5"/>
  </si>
  <si>
    <t>小学部</t>
    <rPh sb="0" eb="2">
      <t>ショウガク</t>
    </rPh>
    <rPh sb="2" eb="3">
      <t>ブ</t>
    </rPh>
    <phoneticPr fontId="5"/>
  </si>
  <si>
    <t>中学部</t>
    <rPh sb="0" eb="3">
      <t>チュウガクブ</t>
    </rPh>
    <phoneticPr fontId="5"/>
  </si>
  <si>
    <t>高等部</t>
    <rPh sb="0" eb="2">
      <t>コウトウ</t>
    </rPh>
    <rPh sb="2" eb="3">
      <t>ブ</t>
    </rPh>
    <phoneticPr fontId="5"/>
  </si>
  <si>
    <t>義務教育学校</t>
    <rPh sb="0" eb="2">
      <t>ギム</t>
    </rPh>
    <rPh sb="2" eb="4">
      <t>キョウイク</t>
    </rPh>
    <rPh sb="4" eb="6">
      <t>ガッコウ</t>
    </rPh>
    <phoneticPr fontId="5"/>
  </si>
  <si>
    <t>（ 単位：人）　</t>
    <phoneticPr fontId="5"/>
  </si>
  <si>
    <t>整理
番号</t>
    <rPh sb="0" eb="2">
      <t>セイリ</t>
    </rPh>
    <rPh sb="3" eb="5">
      <t>バンゴウ</t>
    </rPh>
    <phoneticPr fontId="5"/>
  </si>
  <si>
    <t>当事者
の学校種等</t>
    <rPh sb="0" eb="3">
      <t>トウジシャ</t>
    </rPh>
    <rPh sb="5" eb="7">
      <t>ガッコウ</t>
    </rPh>
    <rPh sb="7" eb="8">
      <t>シュ</t>
    </rPh>
    <rPh sb="8" eb="9">
      <t>トウ</t>
    </rPh>
    <phoneticPr fontId="5"/>
  </si>
  <si>
    <t>学校番号</t>
    <rPh sb="0" eb="2">
      <t>ガッコウ</t>
    </rPh>
    <rPh sb="2" eb="4">
      <t>バンゴウ</t>
    </rPh>
    <phoneticPr fontId="5"/>
  </si>
  <si>
    <t>[場面]</t>
    <rPh sb="1" eb="3">
      <t>バメン</t>
    </rPh>
    <phoneticPr fontId="5"/>
  </si>
  <si>
    <t>[場所]</t>
    <rPh sb="1" eb="3">
      <t>バショ</t>
    </rPh>
    <phoneticPr fontId="5"/>
  </si>
  <si>
    <t>１．「当事者の学校種等」内「学校種」欄、「体罰時の状況」欄、「体罰の態様」欄、「被害の状況」欄が複数ある場合は、各事案で主なものをリストから１つ選択して入力すること。</t>
    <rPh sb="3" eb="6">
      <t>トウジシャ</t>
    </rPh>
    <rPh sb="7" eb="9">
      <t>ガッコウ</t>
    </rPh>
    <rPh sb="9" eb="10">
      <t>シュ</t>
    </rPh>
    <rPh sb="10" eb="11">
      <t>トウ</t>
    </rPh>
    <rPh sb="12" eb="13">
      <t>ナイ</t>
    </rPh>
    <rPh sb="14" eb="16">
      <t>ガッコウ</t>
    </rPh>
    <rPh sb="16" eb="17">
      <t>シュ</t>
    </rPh>
    <rPh sb="18" eb="19">
      <t>ラン</t>
    </rPh>
    <rPh sb="21" eb="23">
      <t>タイバツ</t>
    </rPh>
    <rPh sb="23" eb="24">
      <t>ジ</t>
    </rPh>
    <rPh sb="25" eb="27">
      <t>ジョウキョウ</t>
    </rPh>
    <rPh sb="28" eb="29">
      <t>ラン</t>
    </rPh>
    <rPh sb="40" eb="42">
      <t>ヒガイ</t>
    </rPh>
    <rPh sb="43" eb="45">
      <t>ジョウキョウ</t>
    </rPh>
    <rPh sb="46" eb="47">
      <t>ラン</t>
    </rPh>
    <rPh sb="48" eb="50">
      <t>フクスウ</t>
    </rPh>
    <rPh sb="52" eb="54">
      <t>バアイ</t>
    </rPh>
    <rPh sb="56" eb="59">
      <t>カクジアン</t>
    </rPh>
    <rPh sb="60" eb="61">
      <t>オモ</t>
    </rPh>
    <rPh sb="72" eb="74">
      <t>センタク</t>
    </rPh>
    <rPh sb="76" eb="78">
      <t>ニュウリョク</t>
    </rPh>
    <phoneticPr fontId="5"/>
  </si>
  <si>
    <t>２．「体罰事案の把握のきっかけ」、「体罰事案の把握の手法」欄は、該当する欄全てに「１」を入力すること（「１」以外入力不可）。</t>
    <rPh sb="3" eb="5">
      <t>タイバツ</t>
    </rPh>
    <rPh sb="5" eb="7">
      <t>ジアン</t>
    </rPh>
    <rPh sb="8" eb="10">
      <t>ハアク</t>
    </rPh>
    <rPh sb="18" eb="20">
      <t>タイバツ</t>
    </rPh>
    <rPh sb="20" eb="22">
      <t>ジアン</t>
    </rPh>
    <rPh sb="23" eb="25">
      <t>ハアク</t>
    </rPh>
    <rPh sb="26" eb="28">
      <t>シュホウ</t>
    </rPh>
    <rPh sb="29" eb="30">
      <t>ラン</t>
    </rPh>
    <rPh sb="32" eb="34">
      <t>ガイトウ</t>
    </rPh>
    <rPh sb="36" eb="37">
      <t>ラン</t>
    </rPh>
    <rPh sb="37" eb="38">
      <t>スベ</t>
    </rPh>
    <rPh sb="44" eb="46">
      <t>ニュウリョク</t>
    </rPh>
    <rPh sb="54" eb="56">
      <t>イガイ</t>
    </rPh>
    <rPh sb="56" eb="58">
      <t>ニュウリョク</t>
    </rPh>
    <rPh sb="58" eb="60">
      <t>フカ</t>
    </rPh>
    <phoneticPr fontId="5"/>
  </si>
  <si>
    <t>４．様式変更不可。</t>
    <rPh sb="2" eb="4">
      <t>ヨウシキ</t>
    </rPh>
    <rPh sb="4" eb="6">
      <t>ヘンコウ</t>
    </rPh>
    <rPh sb="6" eb="8">
      <t>フカ</t>
    </rPh>
    <phoneticPr fontId="5"/>
  </si>
  <si>
    <t>体罰時の状況</t>
    <phoneticPr fontId="5"/>
  </si>
  <si>
    <t>体罰の態様</t>
    <phoneticPr fontId="5"/>
  </si>
  <si>
    <t>被害の状況</t>
    <phoneticPr fontId="5"/>
  </si>
  <si>
    <t>１年生</t>
    <rPh sb="1" eb="3">
      <t>ネンセイ</t>
    </rPh>
    <phoneticPr fontId="5"/>
  </si>
  <si>
    <t>２年生</t>
    <rPh sb="1" eb="3">
      <t>ネンセイ</t>
    </rPh>
    <phoneticPr fontId="5"/>
  </si>
  <si>
    <t>３年生</t>
    <rPh sb="1" eb="3">
      <t>ネンセイ</t>
    </rPh>
    <phoneticPr fontId="5"/>
  </si>
  <si>
    <t>４年生</t>
    <rPh sb="1" eb="3">
      <t>ネンセイ</t>
    </rPh>
    <phoneticPr fontId="5"/>
  </si>
  <si>
    <t>５年生</t>
    <rPh sb="1" eb="3">
      <t>ネンセイ</t>
    </rPh>
    <phoneticPr fontId="5"/>
  </si>
  <si>
    <t>６年生</t>
    <rPh sb="1" eb="3">
      <t>ネンセイ</t>
    </rPh>
    <phoneticPr fontId="5"/>
  </si>
  <si>
    <t>７年生</t>
    <rPh sb="1" eb="3">
      <t>ネンセイ</t>
    </rPh>
    <phoneticPr fontId="5"/>
  </si>
  <si>
    <t>８年生</t>
    <rPh sb="1" eb="3">
      <t>ネンセイ</t>
    </rPh>
    <phoneticPr fontId="5"/>
  </si>
  <si>
    <t>９年生</t>
    <rPh sb="1" eb="3">
      <t>ネンセイ</t>
    </rPh>
    <phoneticPr fontId="5"/>
  </si>
  <si>
    <t>電話番号</t>
    <rPh sb="0" eb="2">
      <t>デンワ</t>
    </rPh>
    <rPh sb="2" eb="4">
      <t>バンゴウ</t>
    </rPh>
    <phoneticPr fontId="5"/>
  </si>
  <si>
    <t>１年生</t>
    <rPh sb="1" eb="2">
      <t>ネン</t>
    </rPh>
    <rPh sb="2" eb="3">
      <t>セイ</t>
    </rPh>
    <phoneticPr fontId="5"/>
  </si>
  <si>
    <t>２年生</t>
    <rPh sb="1" eb="2">
      <t>ネン</t>
    </rPh>
    <rPh sb="2" eb="3">
      <t>セイ</t>
    </rPh>
    <phoneticPr fontId="5"/>
  </si>
  <si>
    <t>３年生</t>
    <rPh sb="1" eb="2">
      <t>ネン</t>
    </rPh>
    <rPh sb="2" eb="3">
      <t>セイ</t>
    </rPh>
    <phoneticPr fontId="5"/>
  </si>
  <si>
    <t>４年生</t>
    <rPh sb="1" eb="2">
      <t>ネン</t>
    </rPh>
    <rPh sb="2" eb="3">
      <t>セイ</t>
    </rPh>
    <phoneticPr fontId="5"/>
  </si>
  <si>
    <t>５年生</t>
    <rPh sb="1" eb="2">
      <t>ネン</t>
    </rPh>
    <rPh sb="2" eb="3">
      <t>セイ</t>
    </rPh>
    <phoneticPr fontId="5"/>
  </si>
  <si>
    <t>６年生</t>
    <rPh sb="1" eb="2">
      <t>ネン</t>
    </rPh>
    <rPh sb="2" eb="3">
      <t>セイ</t>
    </rPh>
    <phoneticPr fontId="5"/>
  </si>
  <si>
    <t>当事者</t>
    <rPh sb="0" eb="3">
      <t>トウジシャ</t>
    </rPh>
    <phoneticPr fontId="5"/>
  </si>
  <si>
    <t>空欄チェック</t>
    <rPh sb="0" eb="2">
      <t>クウラン</t>
    </rPh>
    <phoneticPr fontId="5"/>
  </si>
  <si>
    <t>学校種チエック</t>
    <rPh sb="0" eb="2">
      <t>ガッコウ</t>
    </rPh>
    <rPh sb="2" eb="3">
      <t>シュ</t>
    </rPh>
    <phoneticPr fontId="5"/>
  </si>
  <si>
    <t>番号</t>
    <rPh sb="0" eb="2">
      <t>バンゴウ</t>
    </rPh>
    <phoneticPr fontId="5"/>
  </si>
  <si>
    <t>人数</t>
    <rPh sb="0" eb="2">
      <t>ニンズウ</t>
    </rPh>
    <phoneticPr fontId="5"/>
  </si>
  <si>
    <t>場面</t>
    <rPh sb="0" eb="2">
      <t>バメン</t>
    </rPh>
    <phoneticPr fontId="5"/>
  </si>
  <si>
    <t>場所</t>
    <rPh sb="0" eb="2">
      <t>バショ</t>
    </rPh>
    <phoneticPr fontId="5"/>
  </si>
  <si>
    <t>態様</t>
    <rPh sb="0" eb="2">
      <t>タイヨウ</t>
    </rPh>
    <phoneticPr fontId="5"/>
  </si>
  <si>
    <t>被害</t>
    <rPh sb="0" eb="2">
      <t>ヒガイ</t>
    </rPh>
    <phoneticPr fontId="5"/>
  </si>
  <si>
    <t>把握</t>
    <rPh sb="0" eb="2">
      <t>ハアク</t>
    </rPh>
    <phoneticPr fontId="5"/>
  </si>
  <si>
    <t>手法</t>
    <rPh sb="0" eb="2">
      <t>シュホウ</t>
    </rPh>
    <phoneticPr fontId="5"/>
  </si>
  <si>
    <t>計</t>
    <rPh sb="0" eb="1">
      <t>ケイ</t>
    </rPh>
    <phoneticPr fontId="5"/>
  </si>
  <si>
    <t>小</t>
    <rPh sb="0" eb="1">
      <t>ショウ</t>
    </rPh>
    <phoneticPr fontId="5"/>
  </si>
  <si>
    <t>中</t>
    <rPh sb="0" eb="1">
      <t>チュウ</t>
    </rPh>
    <phoneticPr fontId="5"/>
  </si>
  <si>
    <t>義務</t>
    <rPh sb="0" eb="2">
      <t>ギム</t>
    </rPh>
    <phoneticPr fontId="5"/>
  </si>
  <si>
    <t>高</t>
    <rPh sb="0" eb="1">
      <t>コウ</t>
    </rPh>
    <phoneticPr fontId="5"/>
  </si>
  <si>
    <t>中等</t>
    <rPh sb="0" eb="2">
      <t>チュウトウ</t>
    </rPh>
    <phoneticPr fontId="5"/>
  </si>
  <si>
    <t>特</t>
    <rPh sb="0" eb="1">
      <t>トク</t>
    </rPh>
    <phoneticPr fontId="5"/>
  </si>
  <si>
    <t>当事者の年代</t>
    <rPh sb="0" eb="3">
      <t>トウジシャ</t>
    </rPh>
    <rPh sb="4" eb="6">
      <t>ネンダイ</t>
    </rPh>
    <phoneticPr fontId="5"/>
  </si>
  <si>
    <t>当事者の性別</t>
    <rPh sb="0" eb="3">
      <t>トウジシャ</t>
    </rPh>
    <rPh sb="4" eb="6">
      <t>セイベツ</t>
    </rPh>
    <phoneticPr fontId="5"/>
  </si>
  <si>
    <t>場面</t>
    <phoneticPr fontId="5"/>
  </si>
  <si>
    <t>場所</t>
    <phoneticPr fontId="5"/>
  </si>
  <si>
    <t>ア</t>
    <phoneticPr fontId="5"/>
  </si>
  <si>
    <t>イ</t>
    <phoneticPr fontId="5"/>
  </si>
  <si>
    <t>ウ</t>
    <phoneticPr fontId="5"/>
  </si>
  <si>
    <t>エ</t>
    <phoneticPr fontId="5"/>
  </si>
  <si>
    <t>オ</t>
    <phoneticPr fontId="5"/>
  </si>
  <si>
    <t>カ</t>
    <phoneticPr fontId="5"/>
  </si>
  <si>
    <t>キ</t>
    <phoneticPr fontId="5"/>
  </si>
  <si>
    <t>ク</t>
    <phoneticPr fontId="5"/>
  </si>
  <si>
    <t>ケ</t>
    <phoneticPr fontId="5"/>
  </si>
  <si>
    <t>コ</t>
    <phoneticPr fontId="5"/>
  </si>
  <si>
    <t>サ</t>
    <phoneticPr fontId="5"/>
  </si>
  <si>
    <t>シ</t>
    <phoneticPr fontId="5"/>
  </si>
  <si>
    <t>合計</t>
    <rPh sb="0" eb="2">
      <t>ゴウケイ</t>
    </rPh>
    <phoneticPr fontId="5"/>
  </si>
  <si>
    <t>うち通</t>
    <rPh sb="2" eb="3">
      <t>ツウ</t>
    </rPh>
    <phoneticPr fontId="5"/>
  </si>
  <si>
    <t>発生
学校数</t>
    <rPh sb="0" eb="2">
      <t>ハッセイ</t>
    </rPh>
    <rPh sb="3" eb="5">
      <t>ガッコウ</t>
    </rPh>
    <rPh sb="5" eb="6">
      <t>スウ</t>
    </rPh>
    <phoneticPr fontId="5"/>
  </si>
  <si>
    <t>発生
件数</t>
    <rPh sb="0" eb="2">
      <t>ハッセイ</t>
    </rPh>
    <rPh sb="3" eb="5">
      <t>ケンスウ</t>
    </rPh>
    <phoneticPr fontId="5"/>
  </si>
  <si>
    <t>被害
児童
生徒数</t>
    <rPh sb="0" eb="2">
      <t>ヒガイ</t>
    </rPh>
    <rPh sb="3" eb="5">
      <t>ジドウ</t>
    </rPh>
    <rPh sb="6" eb="8">
      <t>セイト</t>
    </rPh>
    <rPh sb="8" eb="9">
      <t>スウ</t>
    </rPh>
    <phoneticPr fontId="5"/>
  </si>
  <si>
    <t>20代</t>
    <rPh sb="2" eb="3">
      <t>ダイ</t>
    </rPh>
    <phoneticPr fontId="5"/>
  </si>
  <si>
    <t>30代</t>
    <rPh sb="2" eb="3">
      <t>ダイ</t>
    </rPh>
    <phoneticPr fontId="5"/>
  </si>
  <si>
    <t>40代</t>
    <rPh sb="2" eb="3">
      <t>ダイ</t>
    </rPh>
    <phoneticPr fontId="5"/>
  </si>
  <si>
    <t>50代</t>
    <rPh sb="2" eb="3">
      <t>ダイ</t>
    </rPh>
    <phoneticPr fontId="5"/>
  </si>
  <si>
    <t>60代以上</t>
    <rPh sb="2" eb="3">
      <t>ダイ</t>
    </rPh>
    <rPh sb="3" eb="5">
      <t>イジョウ</t>
    </rPh>
    <phoneticPr fontId="5"/>
  </si>
  <si>
    <t>男性</t>
    <rPh sb="0" eb="2">
      <t>ダンセイ</t>
    </rPh>
    <phoneticPr fontId="5"/>
  </si>
  <si>
    <t>女性</t>
    <rPh sb="0" eb="2">
      <t>ジョセイ</t>
    </rPh>
    <phoneticPr fontId="5"/>
  </si>
  <si>
    <t>授業</t>
    <rPh sb="0" eb="2">
      <t>ジュギョウ</t>
    </rPh>
    <phoneticPr fontId="5"/>
  </si>
  <si>
    <t>放課後</t>
    <rPh sb="0" eb="3">
      <t>ホウカゴ</t>
    </rPh>
    <phoneticPr fontId="5"/>
  </si>
  <si>
    <t>休み時間</t>
    <rPh sb="0" eb="1">
      <t>ヤス</t>
    </rPh>
    <rPh sb="2" eb="4">
      <t>ジカン</t>
    </rPh>
    <phoneticPr fontId="5"/>
  </si>
  <si>
    <t>部活</t>
    <rPh sb="0" eb="2">
      <t>ブカツ</t>
    </rPh>
    <phoneticPr fontId="5"/>
  </si>
  <si>
    <t>行事</t>
    <rPh sb="0" eb="2">
      <t>ギョウジ</t>
    </rPh>
    <phoneticPr fontId="5"/>
  </si>
  <si>
    <t>ＨＲ</t>
    <phoneticPr fontId="5"/>
  </si>
  <si>
    <t>その他</t>
    <rPh sb="2" eb="3">
      <t>タ</t>
    </rPh>
    <phoneticPr fontId="5"/>
  </si>
  <si>
    <t>教室</t>
    <rPh sb="0" eb="2">
      <t>キョウシツ</t>
    </rPh>
    <phoneticPr fontId="5"/>
  </si>
  <si>
    <t>職員室</t>
    <rPh sb="0" eb="3">
      <t>ショクインシツ</t>
    </rPh>
    <phoneticPr fontId="5"/>
  </si>
  <si>
    <t>運動場</t>
    <rPh sb="0" eb="3">
      <t>ウンドウジョウ</t>
    </rPh>
    <phoneticPr fontId="5"/>
  </si>
  <si>
    <t>生指室</t>
    <rPh sb="0" eb="1">
      <t>セイ</t>
    </rPh>
    <rPh sb="1" eb="2">
      <t>ユビ</t>
    </rPh>
    <rPh sb="2" eb="3">
      <t>シツ</t>
    </rPh>
    <phoneticPr fontId="5"/>
  </si>
  <si>
    <t>廊下</t>
    <rPh sb="0" eb="2">
      <t>ロウカ</t>
    </rPh>
    <phoneticPr fontId="5"/>
  </si>
  <si>
    <t>素手</t>
    <rPh sb="0" eb="2">
      <t>スデ</t>
    </rPh>
    <phoneticPr fontId="5"/>
  </si>
  <si>
    <t>棒</t>
    <rPh sb="0" eb="1">
      <t>ボウ</t>
    </rPh>
    <phoneticPr fontId="5"/>
  </si>
  <si>
    <t>蹴る</t>
    <rPh sb="0" eb="1">
      <t>ケ</t>
    </rPh>
    <phoneticPr fontId="5"/>
  </si>
  <si>
    <t>投げる</t>
    <rPh sb="0" eb="1">
      <t>ナ</t>
    </rPh>
    <phoneticPr fontId="5"/>
  </si>
  <si>
    <t>つねる</t>
    <phoneticPr fontId="5"/>
  </si>
  <si>
    <t>物</t>
    <rPh sb="0" eb="1">
      <t>モノ</t>
    </rPh>
    <phoneticPr fontId="5"/>
  </si>
  <si>
    <t>長教室</t>
    <rPh sb="0" eb="1">
      <t>チョウ</t>
    </rPh>
    <rPh sb="1" eb="3">
      <t>キョウシツ</t>
    </rPh>
    <phoneticPr fontId="5"/>
  </si>
  <si>
    <t>長正座</t>
    <rPh sb="0" eb="1">
      <t>ナガ</t>
    </rPh>
    <rPh sb="1" eb="3">
      <t>セイザ</t>
    </rPh>
    <phoneticPr fontId="5"/>
  </si>
  <si>
    <t>死亡</t>
    <rPh sb="0" eb="2">
      <t>シボウ</t>
    </rPh>
    <phoneticPr fontId="5"/>
  </si>
  <si>
    <t>骨折</t>
    <rPh sb="0" eb="2">
      <t>コッセツ</t>
    </rPh>
    <phoneticPr fontId="5"/>
  </si>
  <si>
    <t>鼓膜損傷</t>
    <rPh sb="0" eb="2">
      <t>コマク</t>
    </rPh>
    <rPh sb="2" eb="4">
      <t>ソンショウ</t>
    </rPh>
    <phoneticPr fontId="5"/>
  </si>
  <si>
    <t>外傷</t>
    <rPh sb="0" eb="2">
      <t>ガイショウ</t>
    </rPh>
    <phoneticPr fontId="5"/>
  </si>
  <si>
    <t>打撲頭</t>
    <rPh sb="0" eb="2">
      <t>ダボク</t>
    </rPh>
    <rPh sb="2" eb="3">
      <t>アタマ</t>
    </rPh>
    <phoneticPr fontId="5"/>
  </si>
  <si>
    <t>打撲顔</t>
    <rPh sb="0" eb="2">
      <t>ダボク</t>
    </rPh>
    <rPh sb="2" eb="3">
      <t>カオ</t>
    </rPh>
    <phoneticPr fontId="5"/>
  </si>
  <si>
    <t>打撲足</t>
    <rPh sb="0" eb="2">
      <t>ダボク</t>
    </rPh>
    <rPh sb="2" eb="3">
      <t>アシ</t>
    </rPh>
    <phoneticPr fontId="5"/>
  </si>
  <si>
    <t>打撲他</t>
    <rPh sb="0" eb="2">
      <t>ダボク</t>
    </rPh>
    <rPh sb="2" eb="3">
      <t>ホカ</t>
    </rPh>
    <phoneticPr fontId="5"/>
  </si>
  <si>
    <t>鼻血</t>
    <rPh sb="0" eb="2">
      <t>ハナヂ</t>
    </rPh>
    <phoneticPr fontId="5"/>
  </si>
  <si>
    <t>髪切</t>
    <rPh sb="0" eb="1">
      <t>カミ</t>
    </rPh>
    <rPh sb="1" eb="2">
      <t>キ</t>
    </rPh>
    <phoneticPr fontId="5"/>
  </si>
  <si>
    <t>なし</t>
    <phoneticPr fontId="5"/>
  </si>
  <si>
    <t>児童</t>
    <rPh sb="0" eb="2">
      <t>ジドウ</t>
    </rPh>
    <phoneticPr fontId="5"/>
  </si>
  <si>
    <t>保護者</t>
    <rPh sb="0" eb="3">
      <t>ホゴシャ</t>
    </rPh>
    <phoneticPr fontId="5"/>
  </si>
  <si>
    <t>教員</t>
    <rPh sb="0" eb="2">
      <t>キョウイン</t>
    </rPh>
    <phoneticPr fontId="5"/>
  </si>
  <si>
    <t>第三者</t>
    <rPh sb="0" eb="3">
      <t>ダイサンシャ</t>
    </rPh>
    <phoneticPr fontId="5"/>
  </si>
  <si>
    <t>当事者</t>
    <rPh sb="0" eb="3">
      <t>トウジシャ</t>
    </rPh>
    <phoneticPr fontId="5"/>
  </si>
  <si>
    <t>他教員</t>
    <rPh sb="0" eb="1">
      <t>タ</t>
    </rPh>
    <rPh sb="1" eb="3">
      <t>キョウイン</t>
    </rPh>
    <phoneticPr fontId="5"/>
  </si>
  <si>
    <t>被害児童</t>
    <rPh sb="0" eb="2">
      <t>ヒガイ</t>
    </rPh>
    <rPh sb="2" eb="4">
      <t>ジドウ</t>
    </rPh>
    <phoneticPr fontId="5"/>
  </si>
  <si>
    <t>他児童</t>
    <rPh sb="0" eb="1">
      <t>ホカ</t>
    </rPh>
    <rPh sb="1" eb="3">
      <t>ジドウ</t>
    </rPh>
    <phoneticPr fontId="5"/>
  </si>
  <si>
    <t>義務教育学校</t>
    <rPh sb="0" eb="2">
      <t>ギム</t>
    </rPh>
    <rPh sb="2" eb="4">
      <t>キョウイク</t>
    </rPh>
    <rPh sb="4" eb="6">
      <t>ガッコウ</t>
    </rPh>
    <phoneticPr fontId="13"/>
  </si>
  <si>
    <t>1年</t>
    <rPh sb="1" eb="2">
      <t>ネン</t>
    </rPh>
    <phoneticPr fontId="5"/>
  </si>
  <si>
    <t>2年</t>
    <rPh sb="1" eb="2">
      <t>ネン</t>
    </rPh>
    <phoneticPr fontId="5"/>
  </si>
  <si>
    <t>3年</t>
    <rPh sb="1" eb="2">
      <t>ネン</t>
    </rPh>
    <phoneticPr fontId="5"/>
  </si>
  <si>
    <t>1年生</t>
    <rPh sb="1" eb="2">
      <t>ネン</t>
    </rPh>
    <rPh sb="2" eb="3">
      <t>セイ</t>
    </rPh>
    <phoneticPr fontId="5"/>
  </si>
  <si>
    <t>2年生</t>
    <rPh sb="1" eb="2">
      <t>ネン</t>
    </rPh>
    <rPh sb="2" eb="3">
      <t>セイ</t>
    </rPh>
    <phoneticPr fontId="5"/>
  </si>
  <si>
    <t>3年生</t>
    <rPh sb="1" eb="2">
      <t>ネン</t>
    </rPh>
    <rPh sb="2" eb="3">
      <t>セイ</t>
    </rPh>
    <phoneticPr fontId="5"/>
  </si>
  <si>
    <t>4年生</t>
    <rPh sb="1" eb="2">
      <t>ネン</t>
    </rPh>
    <rPh sb="2" eb="3">
      <t>セイ</t>
    </rPh>
    <phoneticPr fontId="5"/>
  </si>
  <si>
    <t>5年生</t>
    <rPh sb="1" eb="2">
      <t>ネン</t>
    </rPh>
    <rPh sb="2" eb="3">
      <t>セイ</t>
    </rPh>
    <phoneticPr fontId="5"/>
  </si>
  <si>
    <t>6年生</t>
    <rPh sb="1" eb="2">
      <t>ネン</t>
    </rPh>
    <rPh sb="2" eb="3">
      <t>セイ</t>
    </rPh>
    <phoneticPr fontId="5"/>
  </si>
  <si>
    <t>7年生</t>
    <rPh sb="1" eb="2">
      <t>ネン</t>
    </rPh>
    <rPh sb="2" eb="3">
      <t>セイ</t>
    </rPh>
    <phoneticPr fontId="5"/>
  </si>
  <si>
    <t>8年生</t>
    <rPh sb="1" eb="2">
      <t>ネン</t>
    </rPh>
    <rPh sb="2" eb="3">
      <t>セイ</t>
    </rPh>
    <phoneticPr fontId="5"/>
  </si>
  <si>
    <t>9年生</t>
    <rPh sb="1" eb="2">
      <t>ネン</t>
    </rPh>
    <rPh sb="2" eb="3">
      <t>セイ</t>
    </rPh>
    <phoneticPr fontId="5"/>
  </si>
  <si>
    <t>集計表</t>
    <rPh sb="0" eb="3">
      <t>シュウケイヒョウ</t>
    </rPh>
    <phoneticPr fontId="5"/>
  </si>
  <si>
    <t>幼稚園</t>
    <rPh sb="0" eb="3">
      <t>ヨウチエン</t>
    </rPh>
    <phoneticPr fontId="5"/>
  </si>
  <si>
    <t>３歳児</t>
    <rPh sb="1" eb="3">
      <t>サイジ</t>
    </rPh>
    <phoneticPr fontId="5"/>
  </si>
  <si>
    <t>４歳児</t>
    <rPh sb="1" eb="3">
      <t>サイジ</t>
    </rPh>
    <phoneticPr fontId="5"/>
  </si>
  <si>
    <t>５歳児</t>
    <rPh sb="1" eb="3">
      <t>サイジ</t>
    </rPh>
    <phoneticPr fontId="5"/>
  </si>
  <si>
    <t>０～２歳児</t>
    <rPh sb="3" eb="5">
      <t>サイジ</t>
    </rPh>
    <phoneticPr fontId="5"/>
  </si>
  <si>
    <t>幼稚部</t>
    <rPh sb="0" eb="3">
      <t>ヨウチブ</t>
    </rPh>
    <phoneticPr fontId="5"/>
  </si>
  <si>
    <t>特別支援学校</t>
    <rPh sb="0" eb="2">
      <t>トクベツ</t>
    </rPh>
    <rPh sb="2" eb="4">
      <t>シエン</t>
    </rPh>
    <rPh sb="4" eb="6">
      <t>ガッコウ</t>
    </rPh>
    <phoneticPr fontId="5"/>
  </si>
  <si>
    <t>当事者入力</t>
    <rPh sb="0" eb="3">
      <t>トウジシャ</t>
    </rPh>
    <rPh sb="3" eb="5">
      <t>ニュウリョク</t>
    </rPh>
    <phoneticPr fontId="5"/>
  </si>
  <si>
    <t>幼</t>
    <rPh sb="0" eb="1">
      <t>ヨウ</t>
    </rPh>
    <phoneticPr fontId="5"/>
  </si>
  <si>
    <t>幼稚園</t>
    <rPh sb="0" eb="3">
      <t>ヨウチエン</t>
    </rPh>
    <phoneticPr fontId="5"/>
  </si>
  <si>
    <t>３．「被害を受けた児童生徒等」欄は、「人数（学年）」を入力すること。また、学年が複数に及ぶ場合は、それぞれ入力すること。</t>
    <rPh sb="3" eb="5">
      <t>ヒガイ</t>
    </rPh>
    <rPh sb="6" eb="7">
      <t>ウ</t>
    </rPh>
    <rPh sb="9" eb="11">
      <t>ジドウ</t>
    </rPh>
    <rPh sb="11" eb="13">
      <t>セイト</t>
    </rPh>
    <rPh sb="13" eb="14">
      <t>ナド</t>
    </rPh>
    <rPh sb="15" eb="16">
      <t>ラン</t>
    </rPh>
    <rPh sb="19" eb="21">
      <t>ニンズウ</t>
    </rPh>
    <rPh sb="22" eb="24">
      <t>ガクネン</t>
    </rPh>
    <rPh sb="27" eb="29">
      <t>ニュウリョク</t>
    </rPh>
    <rPh sb="37" eb="39">
      <t>ガクネン</t>
    </rPh>
    <rPh sb="40" eb="42">
      <t>フクスウ</t>
    </rPh>
    <rPh sb="43" eb="44">
      <t>オヨ</t>
    </rPh>
    <rPh sb="45" eb="47">
      <t>バアイ</t>
    </rPh>
    <rPh sb="53" eb="55">
      <t>ニュウリョク</t>
    </rPh>
    <phoneticPr fontId="5"/>
  </si>
  <si>
    <t>ア児童生徒等の訴え</t>
    <rPh sb="1" eb="3">
      <t>ジドウ</t>
    </rPh>
    <rPh sb="3" eb="5">
      <t>セイト</t>
    </rPh>
    <rPh sb="5" eb="6">
      <t>ナド</t>
    </rPh>
    <rPh sb="7" eb="8">
      <t>ウッタ</t>
    </rPh>
    <phoneticPr fontId="5"/>
  </si>
  <si>
    <t>ウ被害児童生徒等</t>
    <rPh sb="1" eb="3">
      <t>ヒガイ</t>
    </rPh>
    <rPh sb="3" eb="5">
      <t>ジドウ</t>
    </rPh>
    <rPh sb="5" eb="7">
      <t>セイト</t>
    </rPh>
    <rPh sb="7" eb="8">
      <t>ナド</t>
    </rPh>
    <phoneticPr fontId="5"/>
  </si>
  <si>
    <t>エその他児童生徒等</t>
    <rPh sb="3" eb="4">
      <t>タ</t>
    </rPh>
    <rPh sb="4" eb="6">
      <t>ジドウ</t>
    </rPh>
    <rPh sb="6" eb="8">
      <t>セイト</t>
    </rPh>
    <rPh sb="8" eb="9">
      <t>ナド</t>
    </rPh>
    <phoneticPr fontId="5"/>
  </si>
  <si>
    <t>被害を受けた児童生徒等人数</t>
    <rPh sb="10" eb="11">
      <t>ナド</t>
    </rPh>
    <phoneticPr fontId="5"/>
  </si>
  <si>
    <t>【 様式１：体罰の状況】</t>
    <rPh sb="2" eb="4">
      <t>ヨウシキ</t>
    </rPh>
    <rPh sb="6" eb="8">
      <t>タイバツ</t>
    </rPh>
    <rPh sb="9" eb="11">
      <t>ジョウキョウ</t>
    </rPh>
    <phoneticPr fontId="5"/>
  </si>
  <si>
    <t>国公立大学法人名
／都道府県名</t>
    <rPh sb="0" eb="3">
      <t>コッコウリツ</t>
    </rPh>
    <rPh sb="3" eb="5">
      <t>ダイガク</t>
    </rPh>
    <rPh sb="5" eb="7">
      <t>ホウジン</t>
    </rPh>
    <rPh sb="7" eb="8">
      <t>メイ</t>
    </rPh>
    <rPh sb="10" eb="14">
      <t>トドウフケン</t>
    </rPh>
    <rPh sb="14" eb="15">
      <t>メイ</t>
    </rPh>
    <phoneticPr fontId="5"/>
  </si>
  <si>
    <t>不適切な指導等時の状況</t>
    <rPh sb="7" eb="8">
      <t>ジ</t>
    </rPh>
    <rPh sb="9" eb="11">
      <t>ジョウキョウ</t>
    </rPh>
    <phoneticPr fontId="5"/>
  </si>
  <si>
    <t>不適切な指導等の態様</t>
  </si>
  <si>
    <t>不適切な指導等の態様</t>
    <rPh sb="8" eb="10">
      <t>タイヨウ</t>
    </rPh>
    <phoneticPr fontId="5"/>
  </si>
  <si>
    <t>不適切な指導等事案の把握のきっかけ</t>
    <rPh sb="7" eb="9">
      <t>ジアン</t>
    </rPh>
    <rPh sb="10" eb="12">
      <t>ハアク</t>
    </rPh>
    <phoneticPr fontId="5"/>
  </si>
  <si>
    <t>２．「不適切な指導等事案の把握のきっかけ」、「不適切な指導等事案の把握の手法」欄は、該当する欄全てに「１」を入力すること（「１」以外入力不可）。</t>
    <rPh sb="10" eb="12">
      <t>ジアン</t>
    </rPh>
    <rPh sb="13" eb="15">
      <t>ハアク</t>
    </rPh>
    <rPh sb="30" eb="32">
      <t>ジアン</t>
    </rPh>
    <rPh sb="33" eb="35">
      <t>ハアク</t>
    </rPh>
    <rPh sb="36" eb="38">
      <t>シュホウ</t>
    </rPh>
    <rPh sb="39" eb="40">
      <t>ラン</t>
    </rPh>
    <rPh sb="42" eb="44">
      <t>ガイトウ</t>
    </rPh>
    <rPh sb="46" eb="47">
      <t>ラン</t>
    </rPh>
    <rPh sb="47" eb="48">
      <t>スベ</t>
    </rPh>
    <rPh sb="54" eb="56">
      <t>ニュウリョク</t>
    </rPh>
    <rPh sb="64" eb="66">
      <t>イガイ</t>
    </rPh>
    <rPh sb="66" eb="68">
      <t>ニュウリョク</t>
    </rPh>
    <rPh sb="68" eb="70">
      <t>フカ</t>
    </rPh>
    <phoneticPr fontId="5"/>
  </si>
  <si>
    <t>不適切な指導等を受けた児童生徒等人数</t>
    <rPh sb="0" eb="3">
      <t>フテキセツ</t>
    </rPh>
    <rPh sb="4" eb="6">
      <t>シドウ</t>
    </rPh>
    <rPh sb="6" eb="7">
      <t>トウ</t>
    </rPh>
    <rPh sb="15" eb="16">
      <t>ナド</t>
    </rPh>
    <phoneticPr fontId="5"/>
  </si>
  <si>
    <t>１．「当事者の学校種等」内「学校種」欄、「不適切な指導等時の状況」欄、「不適切な指導等の態様」欄が複数ある場合は、各事案で主なものをリストから１つ選択して入力すること。</t>
    <rPh sb="3" eb="6">
      <t>トウジシャ</t>
    </rPh>
    <rPh sb="7" eb="9">
      <t>ガッコウ</t>
    </rPh>
    <rPh sb="9" eb="10">
      <t>シュ</t>
    </rPh>
    <rPh sb="10" eb="11">
      <t>トウ</t>
    </rPh>
    <rPh sb="12" eb="13">
      <t>ナイ</t>
    </rPh>
    <rPh sb="14" eb="16">
      <t>ガッコウ</t>
    </rPh>
    <rPh sb="16" eb="17">
      <t>シュ</t>
    </rPh>
    <rPh sb="18" eb="19">
      <t>ラン</t>
    </rPh>
    <rPh sb="28" eb="29">
      <t>ジ</t>
    </rPh>
    <rPh sb="30" eb="32">
      <t>ジョウキョウ</t>
    </rPh>
    <rPh sb="33" eb="34">
      <t>ラン</t>
    </rPh>
    <rPh sb="49" eb="51">
      <t>フクスウ</t>
    </rPh>
    <rPh sb="53" eb="55">
      <t>バアイ</t>
    </rPh>
    <rPh sb="57" eb="60">
      <t>カクジアン</t>
    </rPh>
    <rPh sb="61" eb="62">
      <t>オモ</t>
    </rPh>
    <rPh sb="73" eb="75">
      <t>センタク</t>
    </rPh>
    <rPh sb="77" eb="79">
      <t>ニュウリョク</t>
    </rPh>
    <phoneticPr fontId="5"/>
  </si>
  <si>
    <t>３．「不適切な指導等を受けた児童生徒等」欄は、「人数（学年）」を入力すること。また、学年が複数に及ぶ場合は、それぞれ入力すること。</t>
    <rPh sb="3" eb="6">
      <t>フテキセツ</t>
    </rPh>
    <rPh sb="7" eb="9">
      <t>シドウ</t>
    </rPh>
    <rPh sb="9" eb="10">
      <t>トウ</t>
    </rPh>
    <rPh sb="11" eb="12">
      <t>ウ</t>
    </rPh>
    <rPh sb="14" eb="16">
      <t>ジドウ</t>
    </rPh>
    <rPh sb="16" eb="18">
      <t>セイト</t>
    </rPh>
    <rPh sb="18" eb="19">
      <t>ナド</t>
    </rPh>
    <rPh sb="20" eb="21">
      <t>ラン</t>
    </rPh>
    <rPh sb="24" eb="26">
      <t>ニンズウ</t>
    </rPh>
    <rPh sb="27" eb="29">
      <t>ガクネン</t>
    </rPh>
    <rPh sb="32" eb="34">
      <t>ニュウリョク</t>
    </rPh>
    <rPh sb="42" eb="44">
      <t>ガクネン</t>
    </rPh>
    <rPh sb="45" eb="47">
      <t>フクスウ</t>
    </rPh>
    <rPh sb="48" eb="49">
      <t>オヨ</t>
    </rPh>
    <rPh sb="50" eb="52">
      <t>バアイ</t>
    </rPh>
    <rPh sb="58" eb="60">
      <t>ニュウリョク</t>
    </rPh>
    <phoneticPr fontId="5"/>
  </si>
  <si>
    <t>【 様式２：不適切な指導等の状況】</t>
    <rPh sb="2" eb="4">
      <t>ヨウシキ</t>
    </rPh>
    <rPh sb="14" eb="16">
      <t>ジョウキョウ</t>
    </rPh>
    <phoneticPr fontId="5"/>
  </si>
  <si>
    <t>不適切な指導等の状況</t>
    <phoneticPr fontId="5"/>
  </si>
  <si>
    <t>威圧・感情的</t>
    <rPh sb="0" eb="2">
      <t>イアツ</t>
    </rPh>
    <rPh sb="3" eb="5">
      <t>カンジョウ</t>
    </rPh>
    <rPh sb="5" eb="6">
      <t>テキ</t>
    </rPh>
    <phoneticPr fontId="5"/>
  </si>
  <si>
    <t>不十分</t>
    <rPh sb="0" eb="3">
      <t>フジュウブン</t>
    </rPh>
    <phoneticPr fontId="5"/>
  </si>
  <si>
    <t>尊厳</t>
    <rPh sb="0" eb="2">
      <t>ソンゲン</t>
    </rPh>
    <phoneticPr fontId="5"/>
  </si>
  <si>
    <t>不安な場所</t>
    <rPh sb="0" eb="2">
      <t>フアン</t>
    </rPh>
    <rPh sb="3" eb="5">
      <t>バショ</t>
    </rPh>
    <phoneticPr fontId="5"/>
  </si>
  <si>
    <t>罪悪感</t>
    <rPh sb="0" eb="3">
      <t>ザイアクカン</t>
    </rPh>
    <phoneticPr fontId="5"/>
  </si>
  <si>
    <t>その他</t>
    <rPh sb="2" eb="3">
      <t>ホカ</t>
    </rPh>
    <phoneticPr fontId="5"/>
  </si>
  <si>
    <t>児童生徒</t>
    <rPh sb="0" eb="2">
      <t>ジドウ</t>
    </rPh>
    <rPh sb="2" eb="4">
      <t>セイト</t>
    </rPh>
    <phoneticPr fontId="5"/>
  </si>
  <si>
    <t>当事者教員</t>
    <rPh sb="0" eb="3">
      <t>トウジシャ</t>
    </rPh>
    <rPh sb="3" eb="5">
      <t>キョウイン</t>
    </rPh>
    <phoneticPr fontId="5"/>
  </si>
  <si>
    <t>その他教員</t>
    <rPh sb="2" eb="3">
      <t>ホカ</t>
    </rPh>
    <rPh sb="3" eb="5">
      <t>キョウイン</t>
    </rPh>
    <phoneticPr fontId="5"/>
  </si>
  <si>
    <t>被害児童生徒</t>
    <rPh sb="0" eb="2">
      <t>ヒガイ</t>
    </rPh>
    <rPh sb="2" eb="4">
      <t>ジドウ</t>
    </rPh>
    <rPh sb="4" eb="6">
      <t>セイト</t>
    </rPh>
    <phoneticPr fontId="5"/>
  </si>
  <si>
    <t>その他児童生徒</t>
    <rPh sb="2" eb="3">
      <t>ホカ</t>
    </rPh>
    <rPh sb="3" eb="5">
      <t>ジドウ</t>
    </rPh>
    <rPh sb="5" eb="7">
      <t>セイト</t>
    </rPh>
    <phoneticPr fontId="5"/>
  </si>
  <si>
    <t>不適切な指導等を受けた児童生徒人数</t>
    <rPh sb="0" eb="3">
      <t>フテキセツ</t>
    </rPh>
    <rPh sb="4" eb="6">
      <t>シドウ</t>
    </rPh>
    <rPh sb="6" eb="7">
      <t>トウ</t>
    </rPh>
    <rPh sb="8" eb="9">
      <t>ウ</t>
    </rPh>
    <rPh sb="11" eb="13">
      <t>ジドウ</t>
    </rPh>
    <rPh sb="13" eb="15">
      <t>セイト</t>
    </rPh>
    <rPh sb="15" eb="17">
      <t>ニンズウ</t>
    </rPh>
    <phoneticPr fontId="5"/>
  </si>
  <si>
    <t>組織的な対応考慮しない</t>
    <rPh sb="0" eb="3">
      <t>ソシキテキ</t>
    </rPh>
    <rPh sb="4" eb="6">
      <t>タイオウ</t>
    </rPh>
    <rPh sb="6" eb="8">
      <t>コウリョ</t>
    </rPh>
    <phoneticPr fontId="5"/>
  </si>
  <si>
    <t>様式2-2（別紙）　補足説明様式</t>
    <rPh sb="0" eb="2">
      <t>ヨウシキ</t>
    </rPh>
    <rPh sb="6" eb="8">
      <t>ベッシ</t>
    </rPh>
    <rPh sb="10" eb="12">
      <t>ホソク</t>
    </rPh>
    <rPh sb="12" eb="14">
      <t>セツメイ</t>
    </rPh>
    <rPh sb="14" eb="16">
      <t>ヨウシキ</t>
    </rPh>
    <phoneticPr fontId="5"/>
  </si>
  <si>
    <t>（令和５年４月１日～令和６年３月３１日）　　</t>
    <rPh sb="1" eb="3">
      <t>レイワ</t>
    </rPh>
    <rPh sb="10" eb="12">
      <t>レイワ</t>
    </rPh>
    <phoneticPr fontId="5"/>
  </si>
  <si>
    <t>国公立大学法人名
／都道府県名</t>
    <phoneticPr fontId="5"/>
  </si>
  <si>
    <t>整理番号</t>
    <rPh sb="0" eb="4">
      <t>セイリバンゴウ</t>
    </rPh>
    <phoneticPr fontId="5"/>
  </si>
  <si>
    <t>不適切な言動・指導等の態様　※「キ その他」を選択した場合のみ記入</t>
    <rPh sb="0" eb="3">
      <t>フテキセツ</t>
    </rPh>
    <rPh sb="4" eb="6">
      <t>ゲンドウ</t>
    </rPh>
    <rPh sb="7" eb="9">
      <t>シドウ</t>
    </rPh>
    <rPh sb="9" eb="10">
      <t>トウ</t>
    </rPh>
    <rPh sb="11" eb="13">
      <t>タイヨウ</t>
    </rPh>
    <phoneticPr fontId="5"/>
  </si>
  <si>
    <t>(注)</t>
    <rPh sb="1" eb="2">
      <t>チュウ</t>
    </rPh>
    <phoneticPr fontId="5"/>
  </si>
  <si>
    <r>
      <t>・様式2の補足資料として、整理番号を合わせて記入すること。
・</t>
    </r>
    <r>
      <rPr>
        <sz val="11"/>
        <rFont val="ＭＳ Ｐ明朝"/>
        <family val="3"/>
        <charset val="128"/>
      </rPr>
      <t>指導に至った経緯、指導の内容、</t>
    </r>
    <r>
      <rPr>
        <sz val="11"/>
        <rFont val="ＭＳ Ｐ明朝"/>
        <family val="1"/>
        <charset val="128"/>
      </rPr>
      <t>期間や頻度等について具体的に記載すること。</t>
    </r>
    <rPh sb="5" eb="9">
      <t>ホソクシリョウ</t>
    </rPh>
    <rPh sb="13" eb="17">
      <t>セイリバンゴウ</t>
    </rPh>
    <rPh sb="18" eb="19">
      <t>ア</t>
    </rPh>
    <rPh sb="22" eb="24">
      <t>キニュウ</t>
    </rPh>
    <rPh sb="31" eb="33">
      <t>シドウ</t>
    </rPh>
    <rPh sb="34" eb="35">
      <t>イタ</t>
    </rPh>
    <rPh sb="37" eb="39">
      <t>ケイイ</t>
    </rPh>
    <rPh sb="40" eb="42">
      <t>シドウ</t>
    </rPh>
    <rPh sb="46" eb="48">
      <t>キカン</t>
    </rPh>
    <rPh sb="49" eb="52">
      <t>ヒンドトウ</t>
    </rPh>
    <phoneticPr fontId="5"/>
  </si>
  <si>
    <r>
      <t xml:space="preserve">免職
</t>
    </r>
    <r>
      <rPr>
        <sz val="10"/>
        <rFont val="ＭＳ Ｐ明朝"/>
        <family val="1"/>
        <charset val="128"/>
      </rPr>
      <t>（その他これに類するもの）</t>
    </r>
    <rPh sb="0" eb="2">
      <t>メンショク</t>
    </rPh>
    <rPh sb="6" eb="7">
      <t>ホカ</t>
    </rPh>
    <rPh sb="10" eb="11">
      <t>ルイ</t>
    </rPh>
    <phoneticPr fontId="5"/>
  </si>
  <si>
    <r>
      <t xml:space="preserve">降格
</t>
    </r>
    <r>
      <rPr>
        <sz val="10"/>
        <rFont val="ＭＳ Ｐ明朝"/>
        <family val="1"/>
        <charset val="128"/>
      </rPr>
      <t>（その他これに類するもの）</t>
    </r>
    <rPh sb="0" eb="1">
      <t>オ</t>
    </rPh>
    <rPh sb="1" eb="2">
      <t>カク</t>
    </rPh>
    <phoneticPr fontId="5"/>
  </si>
  <si>
    <r>
      <t xml:space="preserve">停職
</t>
    </r>
    <r>
      <rPr>
        <sz val="10"/>
        <rFont val="ＭＳ Ｐ明朝"/>
        <family val="1"/>
        <charset val="128"/>
      </rPr>
      <t>（その他これに類するもの）</t>
    </r>
    <rPh sb="0" eb="2">
      <t>テイショク</t>
    </rPh>
    <phoneticPr fontId="5"/>
  </si>
  <si>
    <r>
      <t xml:space="preserve">減給
</t>
    </r>
    <r>
      <rPr>
        <sz val="10"/>
        <rFont val="ＭＳ Ｐ明朝"/>
        <family val="1"/>
        <charset val="128"/>
      </rPr>
      <t>（その他これに類するもの）</t>
    </r>
    <rPh sb="0" eb="2">
      <t>ゲンキュウ</t>
    </rPh>
    <phoneticPr fontId="5"/>
  </si>
  <si>
    <r>
      <t xml:space="preserve">戒告
</t>
    </r>
    <r>
      <rPr>
        <sz val="10"/>
        <rFont val="ＭＳ Ｐ明朝"/>
        <family val="1"/>
        <charset val="128"/>
      </rPr>
      <t>（その他これに類するもの）</t>
    </r>
    <rPh sb="0" eb="2">
      <t>カイコク</t>
    </rPh>
    <phoneticPr fontId="5"/>
  </si>
  <si>
    <r>
      <t xml:space="preserve">訓告等
</t>
    </r>
    <r>
      <rPr>
        <sz val="10"/>
        <rFont val="ＭＳ Ｐ明朝"/>
        <family val="1"/>
        <charset val="128"/>
      </rPr>
      <t>（その他の処分）</t>
    </r>
    <rPh sb="0" eb="2">
      <t>クンコク</t>
    </rPh>
    <rPh sb="2" eb="3">
      <t>ナド</t>
    </rPh>
    <rPh sb="7" eb="8">
      <t>ホカ</t>
    </rPh>
    <rPh sb="9" eb="11">
      <t>ショブン</t>
    </rPh>
    <phoneticPr fontId="5"/>
  </si>
  <si>
    <t>処分等の種類</t>
    <rPh sb="0" eb="2">
      <t>ショブン</t>
    </rPh>
    <rPh sb="2" eb="3">
      <t>トウ</t>
    </rPh>
    <rPh sb="4" eb="6">
      <t>シュルイ</t>
    </rPh>
    <phoneticPr fontId="5"/>
  </si>
  <si>
    <t>３年生</t>
  </si>
  <si>
    <t>３年生</t>
    <phoneticPr fontId="5"/>
  </si>
  <si>
    <t>4年生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</si>
</sst>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4"/>
      <name val="ＭＳ Ｐゴシック"/>
      <family val="3"/>
      <charset val="128"/>
    </font>
    <font>
      <b/>
      <sz val="12"/>
      <color rgb="FFFF0000"/>
      <name val="ＭＳ Ｐゴシック"/>
      <family val="3"/>
      <charset val="128"/>
    </font>
    <font>
      <sz val="12"/>
      <name val="ＭＳ Ｐゴシック"/>
      <family val="3"/>
      <charset val="128"/>
    </font>
    <font>
      <sz val="11"/>
      <name val="ＭＳ Ｐ明朝"/>
      <family val="1"/>
      <charset val="128"/>
    </font>
    <font>
      <u/>
      <sz val="11"/>
      <color indexed="12"/>
      <name val="ＭＳ Ｐゴシック"/>
      <family val="3"/>
      <charset val="128"/>
    </font>
    <font>
      <sz val="10"/>
      <name val="ＭＳ Ｐ明朝"/>
      <family val="1"/>
      <charset val="128"/>
    </font>
    <font>
      <sz val="14"/>
      <name val="ＭＳ Ｐ明朝"/>
      <family val="1"/>
      <charset val="128"/>
    </font>
    <font>
      <sz val="12"/>
      <color indexed="81"/>
      <name val="ＭＳ Ｐゴシック"/>
      <family val="3"/>
      <charset val="128"/>
    </font>
    <font>
      <sz val="9"/>
      <name val="ＭＳ Ｐ明朝"/>
      <family val="1"/>
      <charset val="128"/>
    </font>
    <font>
      <sz val="12"/>
      <name val="ＭＳ Ｐ明朝"/>
      <family val="1"/>
      <charset val="128"/>
    </font>
    <font>
      <sz val="16"/>
      <name val="ＭＳ Ｐ明朝"/>
      <family val="1"/>
      <charset val="128"/>
    </font>
    <font>
      <b/>
      <sz val="12"/>
      <color indexed="81"/>
      <name val="ＭＳ Ｐゴシック"/>
      <family val="3"/>
      <charset val="128"/>
    </font>
    <font>
      <b/>
      <sz val="12"/>
      <color indexed="10"/>
      <name val="ＭＳ Ｐゴシック"/>
      <family val="3"/>
      <charset val="128"/>
    </font>
    <font>
      <b/>
      <sz val="10"/>
      <color indexed="81"/>
      <name val="ＭＳ Ｐゴシック"/>
      <family val="3"/>
      <charset val="128"/>
    </font>
    <font>
      <sz val="15"/>
      <name val="ＭＳ Ｐ明朝"/>
      <family val="1"/>
      <charset val="128"/>
    </font>
    <font>
      <b/>
      <sz val="12"/>
      <color rgb="FFFF0000"/>
      <name val="ＭＳ Ｐ明朝"/>
      <family val="1"/>
      <charset val="128"/>
    </font>
    <font>
      <b/>
      <sz val="14"/>
      <color rgb="FFFF0000"/>
      <name val="ＭＳ Ｐゴシック"/>
      <family val="3"/>
      <charset val="128"/>
    </font>
    <font>
      <b/>
      <sz val="11"/>
      <color rgb="FFFF0000"/>
      <name val="ＭＳ Ｐ明朝"/>
      <family val="1"/>
      <charset val="128"/>
    </font>
    <font>
      <b/>
      <sz val="14"/>
      <name val="ＭＳ Ｐ明朝"/>
      <family val="1"/>
      <charset val="128"/>
    </font>
    <font>
      <sz val="25"/>
      <color rgb="FFFF0000"/>
      <name val="ＭＳ Ｐゴシック"/>
      <family val="3"/>
      <charset val="128"/>
    </font>
    <font>
      <sz val="18"/>
      <name val="ＭＳ Ｐ明朝"/>
      <family val="1"/>
      <charset val="128"/>
    </font>
    <font>
      <sz val="11"/>
      <name val="ＭＳ Ｐ明朝"/>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rgb="FFCCFFFF"/>
        <bgColor indexed="64"/>
      </patternFill>
    </fill>
  </fills>
  <borders count="1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double">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double">
        <color indexed="64"/>
      </right>
      <top style="thin">
        <color indexed="64"/>
      </top>
      <bottom/>
      <diagonal/>
    </border>
  </borders>
  <cellStyleXfs count="7">
    <xf numFmtId="0" fontId="0" fillId="0" borderId="0">
      <alignment vertical="center"/>
    </xf>
    <xf numFmtId="0" fontId="10" fillId="0" borderId="0" applyNumberFormat="0" applyFill="0" applyBorder="0" applyAlignment="0" applyProtection="0">
      <alignment vertical="top"/>
      <protection locked="0"/>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272">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9" fillId="0" borderId="0" xfId="0" applyFont="1" applyAlignment="1"/>
    <xf numFmtId="0" fontId="9" fillId="0" borderId="0" xfId="0" applyFont="1">
      <alignment vertical="center"/>
    </xf>
    <xf numFmtId="0" fontId="15" fillId="0" borderId="34" xfId="0" applyFont="1" applyBorder="1">
      <alignment vertical="center"/>
    </xf>
    <xf numFmtId="0" fontId="9" fillId="0" borderId="0" xfId="0" applyFont="1" applyAlignment="1">
      <alignment vertical="center" shrinkToFit="1"/>
    </xf>
    <xf numFmtId="0" fontId="16" fillId="2" borderId="61" xfId="0" applyFont="1" applyFill="1" applyBorder="1" applyAlignment="1" applyProtection="1">
      <alignment horizontal="center" vertical="center" shrinkToFit="1"/>
      <protection locked="0"/>
    </xf>
    <xf numFmtId="0" fontId="12" fillId="2" borderId="60" xfId="0" applyFont="1" applyFill="1" applyBorder="1" applyAlignment="1" applyProtection="1">
      <alignment horizontal="center" vertical="center" shrinkToFit="1"/>
      <protection locked="0"/>
    </xf>
    <xf numFmtId="0" fontId="16" fillId="2" borderId="65" xfId="0" applyFont="1" applyFill="1" applyBorder="1" applyAlignment="1" applyProtection="1">
      <alignment horizontal="center" vertical="center" shrinkToFit="1"/>
      <protection locked="0"/>
    </xf>
    <xf numFmtId="0" fontId="12" fillId="2" borderId="66" xfId="0" applyFont="1" applyFill="1" applyBorder="1" applyAlignment="1" applyProtection="1">
      <alignment horizontal="center" vertical="center" shrinkToFit="1"/>
      <protection locked="0"/>
    </xf>
    <xf numFmtId="0" fontId="16" fillId="2" borderId="70" xfId="0" applyFont="1" applyFill="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6" fillId="2" borderId="72" xfId="0" applyFont="1" applyFill="1" applyBorder="1" applyAlignment="1" applyProtection="1">
      <alignment horizontal="center" vertical="center" shrinkToFit="1"/>
      <protection locked="0"/>
    </xf>
    <xf numFmtId="0" fontId="12" fillId="2" borderId="73" xfId="0" applyFont="1" applyFill="1" applyBorder="1" applyAlignment="1" applyProtection="1">
      <alignment horizontal="center" vertical="center" shrinkToFit="1"/>
      <protection locked="0"/>
    </xf>
    <xf numFmtId="0" fontId="16" fillId="2" borderId="77" xfId="0" applyFont="1" applyFill="1" applyBorder="1" applyAlignment="1" applyProtection="1">
      <alignment horizontal="center" vertical="center" shrinkToFit="1"/>
      <protection locked="0"/>
    </xf>
    <xf numFmtId="0" fontId="12" fillId="2" borderId="76" xfId="0" applyFont="1" applyFill="1" applyBorder="1" applyAlignment="1" applyProtection="1">
      <alignment horizontal="center" vertical="center" shrinkToFit="1"/>
      <protection locked="0"/>
    </xf>
    <xf numFmtId="0" fontId="16" fillId="2" borderId="80" xfId="0" applyFont="1" applyFill="1" applyBorder="1" applyAlignment="1" applyProtection="1">
      <alignment horizontal="center" vertical="center" shrinkToFit="1"/>
      <protection locked="0"/>
    </xf>
    <xf numFmtId="0" fontId="12" fillId="2" borderId="81" xfId="0" applyFont="1" applyFill="1" applyBorder="1" applyAlignment="1" applyProtection="1">
      <alignment horizontal="center" vertical="center" shrinkToFit="1"/>
      <protection locked="0"/>
    </xf>
    <xf numFmtId="0" fontId="9" fillId="2" borderId="59" xfId="0" applyFont="1" applyFill="1" applyBorder="1" applyAlignment="1" applyProtection="1">
      <alignment horizontal="left" vertical="center" shrinkToFit="1"/>
      <protection locked="0"/>
    </xf>
    <xf numFmtId="0" fontId="9" fillId="2" borderId="61" xfId="0" applyFont="1" applyFill="1" applyBorder="1" applyAlignment="1" applyProtection="1">
      <alignment horizontal="left" vertical="center" shrinkToFit="1"/>
      <protection locked="0"/>
    </xf>
    <xf numFmtId="0" fontId="12" fillId="2" borderId="62" xfId="0" applyFont="1" applyFill="1" applyBorder="1" applyAlignment="1" applyProtection="1">
      <alignment horizontal="left" vertical="center" shrinkToFit="1"/>
      <protection locked="0"/>
    </xf>
    <xf numFmtId="0" fontId="9" fillId="2" borderId="68" xfId="0" applyFont="1" applyFill="1" applyBorder="1" applyAlignment="1" applyProtection="1">
      <alignment horizontal="left" vertical="center" shrinkToFit="1"/>
      <protection locked="0"/>
    </xf>
    <xf numFmtId="0" fontId="9" fillId="2" borderId="70"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9" fillId="2" borderId="75" xfId="0" applyFont="1" applyFill="1" applyBorder="1" applyAlignment="1" applyProtection="1">
      <alignment horizontal="left" vertical="center" shrinkToFit="1"/>
      <protection locked="0"/>
    </xf>
    <xf numFmtId="0" fontId="9" fillId="2" borderId="77" xfId="0" applyFont="1" applyFill="1" applyBorder="1" applyAlignment="1" applyProtection="1">
      <alignment horizontal="left" vertical="center" shrinkToFit="1"/>
      <protection locked="0"/>
    </xf>
    <xf numFmtId="0" fontId="12" fillId="2" borderId="78" xfId="0" applyFont="1" applyFill="1" applyBorder="1" applyAlignment="1" applyProtection="1">
      <alignment horizontal="left" vertical="center" shrinkToFit="1"/>
      <protection locked="0"/>
    </xf>
    <xf numFmtId="0" fontId="14" fillId="2" borderId="61" xfId="0" applyFont="1" applyFill="1" applyBorder="1" applyAlignment="1" applyProtection="1">
      <alignment horizontal="left" vertical="center" wrapText="1" shrinkToFit="1"/>
      <protection locked="0"/>
    </xf>
    <xf numFmtId="0" fontId="14" fillId="2" borderId="70" xfId="0" applyFont="1" applyFill="1" applyBorder="1" applyAlignment="1" applyProtection="1">
      <alignment horizontal="left" vertical="center" wrapText="1" shrinkToFit="1"/>
      <protection locked="0"/>
    </xf>
    <xf numFmtId="0" fontId="14" fillId="2" borderId="77" xfId="0" applyFont="1" applyFill="1" applyBorder="1" applyAlignment="1" applyProtection="1">
      <alignment horizontal="left" vertical="center" wrapText="1" shrinkToFit="1"/>
      <protection locked="0"/>
    </xf>
    <xf numFmtId="0" fontId="12" fillId="0" borderId="62" xfId="0" applyFont="1" applyBorder="1" applyAlignment="1" applyProtection="1">
      <alignment vertical="center" shrinkToFit="1"/>
      <protection locked="0"/>
    </xf>
    <xf numFmtId="0" fontId="12" fillId="0" borderId="62" xfId="0" applyFont="1" applyBorder="1" applyAlignment="1" applyProtection="1">
      <alignment horizontal="left" vertical="center" shrinkToFit="1"/>
      <protection locked="0"/>
    </xf>
    <xf numFmtId="0" fontId="12" fillId="0" borderId="63" xfId="0" applyFont="1" applyBorder="1" applyAlignment="1" applyProtection="1">
      <alignment vertical="center" shrinkToFit="1"/>
      <protection locked="0"/>
    </xf>
    <xf numFmtId="0" fontId="12" fillId="0" borderId="64" xfId="0" applyFont="1" applyBorder="1" applyAlignment="1" applyProtection="1">
      <alignment vertical="center" shrinkToFit="1"/>
      <protection locked="0"/>
    </xf>
    <xf numFmtId="0" fontId="12" fillId="0" borderId="4" xfId="0" applyFont="1" applyBorder="1" applyAlignment="1" applyProtection="1">
      <alignment horizontal="left" vertical="center" shrinkToFit="1"/>
      <protection locked="0"/>
    </xf>
    <xf numFmtId="0" fontId="12" fillId="0" borderId="4" xfId="0" applyFont="1" applyBorder="1" applyAlignment="1" applyProtection="1">
      <alignment vertical="center" shrinkToFit="1"/>
      <protection locked="0"/>
    </xf>
    <xf numFmtId="0" fontId="12" fillId="0" borderId="2" xfId="0" applyFont="1" applyBorder="1" applyAlignment="1" applyProtection="1">
      <alignment vertical="center" shrinkToFit="1"/>
      <protection locked="0"/>
    </xf>
    <xf numFmtId="0" fontId="12" fillId="0" borderId="71" xfId="0" applyFont="1" applyBorder="1" applyAlignment="1" applyProtection="1">
      <alignment vertical="center" shrinkToFit="1"/>
      <protection locked="0"/>
    </xf>
    <xf numFmtId="0" fontId="12" fillId="0" borderId="78" xfId="0" applyFont="1" applyBorder="1" applyAlignment="1" applyProtection="1">
      <alignment horizontal="left" vertical="center" shrinkToFit="1"/>
      <protection locked="0"/>
    </xf>
    <xf numFmtId="0" fontId="12" fillId="0" borderId="78" xfId="0" applyFont="1" applyBorder="1" applyAlignment="1" applyProtection="1">
      <alignment vertical="center" shrinkToFit="1"/>
      <protection locked="0"/>
    </xf>
    <xf numFmtId="0" fontId="12" fillId="0" borderId="56" xfId="0" applyFont="1" applyBorder="1" applyAlignment="1" applyProtection="1">
      <alignment vertical="center" shrinkToFit="1"/>
      <protection locked="0"/>
    </xf>
    <xf numFmtId="0" fontId="12" fillId="0" borderId="79" xfId="0" applyFont="1" applyBorder="1" applyAlignment="1" applyProtection="1">
      <alignment vertical="center" shrinkToFit="1"/>
      <protection locked="0"/>
    </xf>
    <xf numFmtId="0" fontId="14" fillId="0" borderId="30" xfId="0" applyFont="1" applyBorder="1" applyAlignment="1">
      <alignment horizontal="center" vertical="center" textRotation="255" shrinkToFit="1"/>
    </xf>
    <xf numFmtId="0" fontId="16" fillId="2" borderId="52"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0" fontId="20" fillId="0" borderId="40" xfId="0" applyFont="1" applyBorder="1" applyAlignment="1">
      <alignment horizontal="center" vertical="center"/>
    </xf>
    <xf numFmtId="0" fontId="20" fillId="0" borderId="67" xfId="0" applyFont="1" applyBorder="1" applyAlignment="1">
      <alignment horizontal="center" vertical="center"/>
    </xf>
    <xf numFmtId="0" fontId="20" fillId="0" borderId="74" xfId="0" applyFont="1" applyBorder="1" applyAlignment="1">
      <alignment horizontal="center" vertical="center"/>
    </xf>
    <xf numFmtId="0" fontId="20" fillId="0" borderId="51"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9" fillId="0" borderId="43" xfId="0" applyFont="1" applyBorder="1">
      <alignment vertical="center"/>
    </xf>
    <xf numFmtId="0" fontId="9" fillId="0" borderId="18" xfId="0" applyFont="1" applyBorder="1">
      <alignment vertical="center"/>
    </xf>
    <xf numFmtId="0" fontId="9" fillId="0" borderId="4" xfId="0" applyFont="1" applyBorder="1" applyAlignment="1">
      <alignment horizontal="center" vertical="center"/>
    </xf>
    <xf numFmtId="0" fontId="0" fillId="0" borderId="4" xfId="0" applyBorder="1" applyAlignment="1">
      <alignment horizontal="center" vertical="center" wrapText="1" shrinkToFit="1"/>
    </xf>
    <xf numFmtId="0" fontId="0" fillId="3" borderId="4"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12" fillId="0" borderId="4" xfId="0" applyFont="1" applyBorder="1">
      <alignment vertical="center"/>
    </xf>
    <xf numFmtId="0" fontId="9" fillId="0" borderId="86" xfId="0" applyFont="1" applyBorder="1">
      <alignment vertical="center"/>
    </xf>
    <xf numFmtId="0" fontId="15" fillId="0" borderId="4" xfId="0" applyFont="1" applyBorder="1" applyAlignment="1">
      <alignment horizontal="right"/>
    </xf>
    <xf numFmtId="0" fontId="8" fillId="0" borderId="4" xfId="0" applyFont="1" applyBorder="1" applyAlignment="1">
      <alignment horizontal="right"/>
    </xf>
    <xf numFmtId="0" fontId="15" fillId="0" borderId="4" xfId="0" applyFont="1" applyBorder="1" applyAlignment="1">
      <alignment horizontal="right" wrapText="1"/>
    </xf>
    <xf numFmtId="0" fontId="9" fillId="0" borderId="0" xfId="0" applyFont="1" applyAlignment="1">
      <alignment horizontal="left" vertical="center"/>
    </xf>
    <xf numFmtId="0" fontId="14" fillId="0" borderId="0" xfId="0" applyFont="1" applyAlignment="1">
      <alignment horizontal="left" vertical="center"/>
    </xf>
    <xf numFmtId="0" fontId="11" fillId="0" borderId="4"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2" xfId="0" applyFont="1" applyBorder="1" applyAlignment="1">
      <alignment horizontal="center" vertical="center" shrinkToFit="1"/>
    </xf>
    <xf numFmtId="0" fontId="23" fillId="0" borderId="0" xfId="0" applyFont="1" applyAlignment="1">
      <alignment horizontal="center" vertical="center"/>
    </xf>
    <xf numFmtId="0" fontId="12" fillId="0" borderId="93" xfId="0" applyFont="1" applyBorder="1">
      <alignment vertical="center"/>
    </xf>
    <xf numFmtId="0" fontId="15" fillId="0" borderId="93" xfId="0" applyFont="1" applyBorder="1" applyAlignment="1">
      <alignment horizontal="right"/>
    </xf>
    <xf numFmtId="0" fontId="12" fillId="0" borderId="94" xfId="0" applyFont="1" applyBorder="1">
      <alignment vertical="center"/>
    </xf>
    <xf numFmtId="0" fontId="15" fillId="0" borderId="94" xfId="0" applyFont="1" applyBorder="1" applyAlignment="1">
      <alignment horizontal="right"/>
    </xf>
    <xf numFmtId="0" fontId="11" fillId="0" borderId="4" xfId="0" applyFont="1" applyBorder="1">
      <alignment vertical="center"/>
    </xf>
    <xf numFmtId="0" fontId="11" fillId="0" borderId="89" xfId="0" applyFont="1" applyBorder="1">
      <alignment vertical="center"/>
    </xf>
    <xf numFmtId="0" fontId="11" fillId="0" borderId="71" xfId="0" applyFont="1" applyBorder="1">
      <alignment vertical="center"/>
    </xf>
    <xf numFmtId="0" fontId="12" fillId="0" borderId="82"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90" xfId="0" applyFont="1" applyBorder="1">
      <alignment vertical="center"/>
    </xf>
    <xf numFmtId="0" fontId="9" fillId="0" borderId="91" xfId="0" applyFont="1" applyBorder="1">
      <alignment vertical="center"/>
    </xf>
    <xf numFmtId="0" fontId="12" fillId="0" borderId="92" xfId="0" applyFont="1" applyBorder="1">
      <alignment vertical="center"/>
    </xf>
    <xf numFmtId="0" fontId="9" fillId="0" borderId="36" xfId="0" applyFont="1" applyBorder="1">
      <alignment vertical="center"/>
    </xf>
    <xf numFmtId="0" fontId="9" fillId="0" borderId="9" xfId="0" applyFont="1" applyBorder="1">
      <alignment vertical="center"/>
    </xf>
    <xf numFmtId="0" fontId="12" fillId="0" borderId="90" xfId="0" applyFont="1" applyBorder="1" applyAlignment="1">
      <alignment vertical="center" shrinkToFit="1"/>
    </xf>
    <xf numFmtId="0" fontId="9" fillId="0" borderId="77" xfId="0" applyFont="1" applyBorder="1" applyAlignment="1" applyProtection="1">
      <alignment horizontal="left" vertical="center" shrinkToFit="1"/>
      <protection locked="0"/>
    </xf>
    <xf numFmtId="0" fontId="25" fillId="0" borderId="0" xfId="0" applyFont="1">
      <alignment vertical="center"/>
    </xf>
    <xf numFmtId="0" fontId="16" fillId="0" borderId="0" xfId="0" applyFont="1" applyAlignment="1">
      <alignment horizontal="left" vertical="center"/>
    </xf>
    <xf numFmtId="0" fontId="9" fillId="0" borderId="0" xfId="0" applyFont="1" applyProtection="1">
      <alignment vertical="center"/>
      <protection locked="0"/>
    </xf>
    <xf numFmtId="0" fontId="12" fillId="0" borderId="48" xfId="0" applyFont="1" applyBorder="1" applyAlignment="1">
      <alignment horizontal="right" vertical="center"/>
    </xf>
    <xf numFmtId="0" fontId="12" fillId="0" borderId="0" xfId="0" applyFont="1" applyAlignment="1">
      <alignment horizontal="right" vertical="center"/>
    </xf>
    <xf numFmtId="0" fontId="26" fillId="0" borderId="0" xfId="0" applyFont="1" applyAlignment="1">
      <alignment horizontal="center" vertical="center"/>
    </xf>
    <xf numFmtId="0" fontId="14" fillId="0" borderId="0" xfId="0" applyFont="1">
      <alignment vertical="center"/>
    </xf>
    <xf numFmtId="0" fontId="12" fillId="0" borderId="0" xfId="0" applyFont="1" applyAlignment="1">
      <alignment horizontal="center" vertical="center"/>
    </xf>
    <xf numFmtId="176" fontId="26" fillId="0" borderId="0" xfId="0" applyNumberFormat="1" applyFont="1" applyAlignment="1">
      <alignment horizontal="center" vertical="center"/>
    </xf>
    <xf numFmtId="0" fontId="9" fillId="0" borderId="100" xfId="0" applyFont="1" applyBorder="1">
      <alignment vertical="center"/>
    </xf>
    <xf numFmtId="0" fontId="9" fillId="0" borderId="101" xfId="0" applyFont="1" applyBorder="1" applyAlignment="1" applyProtection="1">
      <alignment horizontal="center" vertical="center"/>
      <protection locked="0"/>
    </xf>
    <xf numFmtId="0" fontId="9" fillId="0" borderId="103"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0" fontId="9" fillId="0" borderId="105" xfId="0" applyFont="1" applyBorder="1" applyAlignment="1" applyProtection="1">
      <alignment horizontal="center" vertical="center"/>
      <protection locked="0"/>
    </xf>
    <xf numFmtId="0" fontId="9" fillId="0" borderId="0" xfId="0" applyFont="1" applyAlignment="1">
      <alignment vertical="top" wrapText="1"/>
    </xf>
    <xf numFmtId="0" fontId="16" fillId="0" borderId="0" xfId="0" applyFont="1" applyAlignment="1">
      <alignment horizontal="center" vertical="center" wrapText="1"/>
    </xf>
    <xf numFmtId="0" fontId="16" fillId="2" borderId="34" xfId="0" applyFont="1" applyFill="1" applyBorder="1" applyAlignment="1">
      <alignment horizontal="center" vertical="center" shrinkToFit="1"/>
    </xf>
    <xf numFmtId="0" fontId="20" fillId="0" borderId="39" xfId="0" applyFont="1" applyBorder="1" applyAlignment="1">
      <alignment horizontal="center" vertical="center"/>
    </xf>
    <xf numFmtId="0" fontId="20" fillId="0" borderId="110" xfId="0" applyFont="1" applyBorder="1" applyAlignment="1">
      <alignment horizontal="center" vertical="center"/>
    </xf>
    <xf numFmtId="0" fontId="20" fillId="0" borderId="111" xfId="0" applyFont="1" applyBorder="1" applyAlignment="1">
      <alignment horizontal="center" vertical="center"/>
    </xf>
    <xf numFmtId="0" fontId="20" fillId="0" borderId="55" xfId="0" applyFont="1" applyBorder="1" applyAlignment="1">
      <alignment horizontal="center" vertical="center"/>
    </xf>
    <xf numFmtId="0" fontId="9" fillId="2" borderId="112" xfId="0" applyFont="1" applyFill="1" applyBorder="1" applyAlignment="1" applyProtection="1">
      <alignment horizontal="left" vertical="center" shrinkToFit="1"/>
      <protection locked="0"/>
    </xf>
    <xf numFmtId="0" fontId="9" fillId="2" borderId="113" xfId="0" applyFont="1" applyFill="1" applyBorder="1" applyAlignment="1" applyProtection="1">
      <alignment horizontal="left" vertical="center" shrinkToFit="1"/>
      <protection locked="0"/>
    </xf>
    <xf numFmtId="0" fontId="9" fillId="2" borderId="114" xfId="0" applyFont="1" applyFill="1" applyBorder="1" applyAlignment="1" applyProtection="1">
      <alignment horizontal="left" vertical="center" shrinkToFit="1"/>
      <protection locked="0"/>
    </xf>
    <xf numFmtId="0" fontId="16" fillId="0" borderId="86" xfId="0" applyFont="1" applyBorder="1" applyAlignment="1">
      <alignment horizontal="center" vertical="center"/>
    </xf>
    <xf numFmtId="0" fontId="20" fillId="0" borderId="4" xfId="0" applyFont="1" applyBorder="1" applyAlignment="1">
      <alignment horizontal="center" vertical="center"/>
    </xf>
    <xf numFmtId="0" fontId="16" fillId="0" borderId="115" xfId="0" applyFont="1" applyBorder="1" applyAlignment="1">
      <alignment horizontal="center" vertical="center"/>
    </xf>
    <xf numFmtId="0" fontId="20" fillId="0" borderId="109"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89" xfId="0" applyFont="1" applyBorder="1" applyAlignment="1">
      <alignment horizontal="center" vertical="center"/>
    </xf>
    <xf numFmtId="0" fontId="9" fillId="0" borderId="4" xfId="0" applyFont="1" applyBorder="1" applyAlignment="1">
      <alignment horizontal="center" vertical="center"/>
    </xf>
    <xf numFmtId="0" fontId="9" fillId="0" borderId="71" xfId="0" applyFont="1" applyBorder="1" applyAlignment="1">
      <alignment horizontal="center" vertical="center"/>
    </xf>
    <xf numFmtId="0" fontId="9" fillId="0" borderId="4"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95" xfId="0" applyFont="1" applyBorder="1" applyAlignment="1">
      <alignment horizontal="center" vertical="center" shrinkToFit="1"/>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11" fillId="0" borderId="98" xfId="0" applyFont="1" applyBorder="1" applyAlignment="1">
      <alignment horizontal="center" vertical="center" shrinkToFit="1"/>
    </xf>
    <xf numFmtId="0" fontId="11" fillId="0" borderId="8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7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84" xfId="0" applyFont="1"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71"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Alignment="1">
      <alignment horizontal="center" vertical="center" textRotation="255"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2" xfId="0" applyFont="1" applyBorder="1" applyAlignment="1">
      <alignment horizontal="center" vertical="center" shrinkToFit="1"/>
    </xf>
    <xf numFmtId="0" fontId="10" fillId="0" borderId="1" xfId="1" applyBorder="1" applyAlignment="1" applyProtection="1">
      <alignment horizontal="center" vertical="center" shrinkToFit="1"/>
      <protection locked="0"/>
    </xf>
    <xf numFmtId="0" fontId="16"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51" xfId="0" applyFont="1" applyBorder="1" applyAlignment="1">
      <alignment horizontal="center" vertical="center"/>
    </xf>
    <xf numFmtId="0" fontId="16" fillId="2" borderId="36" xfId="0" applyFont="1" applyFill="1" applyBorder="1" applyAlignment="1">
      <alignment horizontal="center" vertical="center" wrapText="1" shrinkToFit="1"/>
    </xf>
    <xf numFmtId="0" fontId="16" fillId="2" borderId="9"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0" xfId="0" applyFont="1" applyFill="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8" xfId="0" applyFont="1" applyFill="1" applyBorder="1" applyAlignment="1">
      <alignment horizontal="center" vertical="center" wrapText="1" shrinkToFit="1"/>
    </xf>
    <xf numFmtId="0" fontId="16" fillId="2" borderId="7" xfId="0" applyFont="1" applyFill="1" applyBorder="1" applyAlignment="1">
      <alignment horizontal="center" vertical="center" textRotation="255" shrinkToFit="1"/>
    </xf>
    <xf numFmtId="0" fontId="16" fillId="2" borderId="43" xfId="0" applyFont="1" applyFill="1" applyBorder="1" applyAlignment="1">
      <alignment horizontal="center" vertical="center" textRotation="255" shrinkToFit="1"/>
    </xf>
    <xf numFmtId="0" fontId="16" fillId="2" borderId="54" xfId="0" applyFont="1" applyFill="1" applyBorder="1" applyAlignment="1">
      <alignment horizontal="center" vertical="center" textRotation="255" shrinkToFit="1"/>
    </xf>
    <xf numFmtId="0" fontId="16" fillId="2" borderId="8"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9" fillId="0" borderId="1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44" xfId="0" applyFont="1" applyBorder="1" applyAlignment="1">
      <alignment horizontal="center" vertical="center" shrinkToFit="1"/>
    </xf>
    <xf numFmtId="0" fontId="14" fillId="2" borderId="22" xfId="0" applyFont="1" applyFill="1" applyBorder="1" applyAlignment="1">
      <alignment vertical="top" textRotation="255" shrinkToFit="1"/>
    </xf>
    <xf numFmtId="0" fontId="14" fillId="2" borderId="29" xfId="0" applyFont="1" applyFill="1" applyBorder="1" applyAlignment="1">
      <alignment vertical="top" shrinkToFit="1"/>
    </xf>
    <xf numFmtId="0" fontId="14" fillId="2" borderId="33" xfId="0" applyFont="1" applyFill="1" applyBorder="1" applyAlignment="1">
      <alignment vertical="top" shrinkToFit="1"/>
    </xf>
    <xf numFmtId="0" fontId="7" fillId="0" borderId="0" xfId="0" applyFont="1" applyAlignment="1">
      <alignment horizontal="center" vertical="center"/>
    </xf>
    <xf numFmtId="0" fontId="15" fillId="0" borderId="34" xfId="0" applyFont="1" applyBorder="1" applyAlignment="1">
      <alignment horizontal="right" vertical="center"/>
    </xf>
    <xf numFmtId="0" fontId="12" fillId="2" borderId="8" xfId="0" applyFont="1" applyFill="1" applyBorder="1" applyAlignment="1">
      <alignment vertical="center" shrinkToFit="1"/>
    </xf>
    <xf numFmtId="0" fontId="12" fillId="2" borderId="9" xfId="0" applyFont="1" applyFill="1" applyBorder="1" applyAlignment="1">
      <alignment vertical="center" shrinkToFit="1"/>
    </xf>
    <xf numFmtId="0" fontId="9" fillId="2" borderId="5" xfId="0" applyFont="1" applyFill="1" applyBorder="1" applyAlignment="1">
      <alignment vertical="center" shrinkToFit="1"/>
    </xf>
    <xf numFmtId="0" fontId="16" fillId="2" borderId="37"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14" fillId="2" borderId="20" xfId="0" applyFont="1" applyFill="1" applyBorder="1" applyAlignment="1">
      <alignment vertical="top" textRotation="255" shrinkToFit="1"/>
    </xf>
    <xf numFmtId="0" fontId="14" fillId="2" borderId="27" xfId="0" applyFont="1" applyFill="1" applyBorder="1" applyAlignment="1">
      <alignment vertical="top" shrinkToFit="1"/>
    </xf>
    <xf numFmtId="0" fontId="14" fillId="2" borderId="31" xfId="0" applyFont="1" applyFill="1" applyBorder="1" applyAlignment="1">
      <alignment vertical="top" shrinkToFit="1"/>
    </xf>
    <xf numFmtId="0" fontId="14" fillId="2" borderId="21" xfId="0" applyFont="1" applyFill="1" applyBorder="1" applyAlignment="1">
      <alignment vertical="top" textRotation="255" shrinkToFit="1"/>
    </xf>
    <xf numFmtId="0" fontId="14" fillId="2" borderId="28" xfId="0" applyFont="1" applyFill="1" applyBorder="1" applyAlignment="1">
      <alignment vertical="top" shrinkToFit="1"/>
    </xf>
    <xf numFmtId="0" fontId="14" fillId="2" borderId="32" xfId="0" applyFont="1" applyFill="1" applyBorder="1" applyAlignment="1">
      <alignment vertical="top" shrinkToFit="1"/>
    </xf>
    <xf numFmtId="0" fontId="14" fillId="2" borderId="46" xfId="0" applyFont="1" applyFill="1" applyBorder="1" applyAlignment="1">
      <alignment vertical="top" textRotation="255" shrinkToFit="1"/>
    </xf>
    <xf numFmtId="0" fontId="14" fillId="2" borderId="50" xfId="0" applyFont="1" applyFill="1" applyBorder="1" applyAlignment="1">
      <alignment vertical="top" shrinkToFit="1"/>
    </xf>
    <xf numFmtId="0" fontId="14" fillId="2" borderId="58" xfId="0" applyFont="1" applyFill="1" applyBorder="1" applyAlignment="1">
      <alignment vertical="top"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5"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84" xfId="0" applyBorder="1" applyAlignment="1">
      <alignment horizontal="center" vertical="center"/>
    </xf>
    <xf numFmtId="0" fontId="9" fillId="0" borderId="8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5"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84" xfId="0" applyFont="1" applyBorder="1" applyAlignment="1">
      <alignment horizontal="center" vertical="center"/>
    </xf>
    <xf numFmtId="0" fontId="9" fillId="0" borderId="87" xfId="0" applyFont="1" applyBorder="1" applyAlignment="1">
      <alignment horizontal="center" vertical="center" wrapText="1"/>
    </xf>
    <xf numFmtId="0" fontId="24" fillId="0" borderId="0" xfId="0" applyFont="1" applyAlignment="1">
      <alignment horizontal="left" vertical="center"/>
    </xf>
    <xf numFmtId="0" fontId="24" fillId="0" borderId="48" xfId="0" applyFont="1" applyBorder="1" applyAlignment="1">
      <alignment horizontal="left" vertical="center"/>
    </xf>
    <xf numFmtId="0" fontId="16" fillId="0" borderId="39"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9" xfId="0" applyFont="1" applyBorder="1" applyAlignment="1">
      <alignment horizontal="center" vertical="center"/>
    </xf>
    <xf numFmtId="0" fontId="16" fillId="2" borderId="3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8" fillId="0" borderId="3"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55" xfId="0" applyFont="1" applyBorder="1" applyAlignment="1">
      <alignment horizontal="center" vertical="center"/>
    </xf>
    <xf numFmtId="0" fontId="9" fillId="0" borderId="106"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0" xfId="0" applyFont="1" applyAlignment="1">
      <alignment horizontal="left" vertical="top" wrapText="1"/>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15" fillId="0" borderId="0" xfId="0" applyFont="1" applyAlignment="1">
      <alignment horizontal="right" vertical="center"/>
    </xf>
    <xf numFmtId="0" fontId="12" fillId="0" borderId="87"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84" xfId="0" applyFont="1" applyBorder="1" applyAlignment="1">
      <alignment horizontal="center" vertical="center" wrapText="1"/>
    </xf>
    <xf numFmtId="0" fontId="24" fillId="5" borderId="87" xfId="0" applyFont="1" applyFill="1" applyBorder="1" applyAlignment="1">
      <alignment horizontal="center" vertical="center"/>
    </xf>
    <xf numFmtId="0" fontId="24" fillId="5" borderId="88" xfId="0" applyFont="1" applyFill="1" applyBorder="1" applyAlignment="1">
      <alignment horizontal="center" vertical="center"/>
    </xf>
    <xf numFmtId="0" fontId="24" fillId="5" borderId="85" xfId="0" applyFont="1" applyFill="1" applyBorder="1" applyAlignment="1">
      <alignment horizontal="center" vertical="center"/>
    </xf>
    <xf numFmtId="0" fontId="24" fillId="5" borderId="99" xfId="0" applyFont="1" applyFill="1" applyBorder="1" applyAlignment="1">
      <alignment horizontal="center" vertical="center"/>
    </xf>
    <xf numFmtId="0" fontId="24" fillId="5" borderId="0" xfId="0" applyFont="1" applyFill="1" applyAlignment="1">
      <alignment horizontal="center" vertical="center"/>
    </xf>
    <xf numFmtId="0" fontId="24" fillId="5" borderId="23" xfId="0" applyFont="1" applyFill="1" applyBorder="1" applyAlignment="1">
      <alignment horizontal="center" vertical="center"/>
    </xf>
    <xf numFmtId="0" fontId="24" fillId="5" borderId="49" xfId="0" applyFont="1" applyFill="1" applyBorder="1" applyAlignment="1">
      <alignment horizontal="center" vertical="center"/>
    </xf>
    <xf numFmtId="0" fontId="24" fillId="5" borderId="48" xfId="0" applyFont="1" applyFill="1" applyBorder="1" applyAlignment="1">
      <alignment horizontal="center" vertical="center"/>
    </xf>
    <xf numFmtId="0" fontId="24" fillId="5" borderId="84" xfId="0" applyFont="1" applyFill="1" applyBorder="1" applyAlignment="1">
      <alignment horizontal="center" vertical="center"/>
    </xf>
    <xf numFmtId="0" fontId="9" fillId="0" borderId="102"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8" xfId="0" applyFont="1" applyBorder="1" applyAlignment="1">
      <alignment horizontal="center" vertical="center" wrapText="1"/>
    </xf>
  </cellXfs>
  <cellStyles count="7">
    <cellStyle name="ハイパーリンク" xfId="1" builtinId="8"/>
    <cellStyle name="標準" xfId="0" builtinId="0"/>
    <cellStyle name="標準 2" xfId="2" xr:uid="{51425F72-063C-4AC9-8B85-0B94AB54BDAC}"/>
    <cellStyle name="標準 2 2" xfId="4" xr:uid="{14CEDE36-D247-47CF-95C5-3910C9C29FA5}"/>
    <cellStyle name="標準 3" xfId="3" xr:uid="{A935C4A9-4004-412E-AD72-60242E95C0EA}"/>
    <cellStyle name="標準 3 2" xfId="5" xr:uid="{19493CC9-5499-4475-B3CC-E840C201D1C6}"/>
    <cellStyle name="標準 4" xfId="6" xr:uid="{10E1DAD4-8E38-46E8-80DF-D3905209F0E7}"/>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mxcifs01\home\&#29983;&#24466;&#25351;&#23566;&#20225;&#30011;&#20418;\400_&#20307;&#32624;&#65295;&#24773;&#21205;&#65295;&#34384;&#24453;\410_&#20307;&#32624;\H29&#20307;&#32624;&#35519;&#26619;\02%20&#35519;&#26619;&#31080;&#30330;&#36865;&#65288;&#22269;&#31169;&#12408;&#65289;\01%20&#32207;&#25324;&#34920;1&#65291;&#27096;&#24335;1-1&#65374;1-9(&#25074;&#25106;&#20966;&#20998;&#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１"/>
      <sheetName val="様式1-1"/>
      <sheetName val="様式1-2"/>
      <sheetName val="様式1-4"/>
      <sheetName val="様式1-5"/>
      <sheetName val="様式1-6"/>
      <sheetName val="様式1-7"/>
      <sheetName val="様式1-8"/>
      <sheetName val="様式1-8（別紙）"/>
      <sheetName val="様式1-9"/>
      <sheetName val="表2-7"/>
      <sheetName val="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１　北海道</v>
          </cell>
        </row>
        <row r="2">
          <cell r="A2" t="str">
            <v>２　青森県</v>
          </cell>
        </row>
        <row r="3">
          <cell r="A3" t="str">
            <v>３　岩手県</v>
          </cell>
        </row>
        <row r="4">
          <cell r="A4" t="str">
            <v>４　宮城県</v>
          </cell>
        </row>
        <row r="5">
          <cell r="A5" t="str">
            <v>５　秋田県</v>
          </cell>
        </row>
        <row r="6">
          <cell r="A6" t="str">
            <v>６　山形県</v>
          </cell>
        </row>
        <row r="7">
          <cell r="A7" t="str">
            <v>７　福島県</v>
          </cell>
        </row>
        <row r="8">
          <cell r="A8" t="str">
            <v>８　茨城県</v>
          </cell>
        </row>
        <row r="9">
          <cell r="A9" t="str">
            <v>９　栃木県</v>
          </cell>
        </row>
        <row r="10">
          <cell r="A10" t="str">
            <v>10 群馬県</v>
          </cell>
        </row>
        <row r="11">
          <cell r="A11" t="str">
            <v>11 埼玉県</v>
          </cell>
        </row>
        <row r="12">
          <cell r="A12" t="str">
            <v>12 千葉県</v>
          </cell>
        </row>
        <row r="13">
          <cell r="A13" t="str">
            <v>13 東京都</v>
          </cell>
        </row>
        <row r="14">
          <cell r="A14" t="str">
            <v>14 神奈川県</v>
          </cell>
        </row>
        <row r="15">
          <cell r="A15" t="str">
            <v>15 新潟県</v>
          </cell>
        </row>
        <row r="16">
          <cell r="A16" t="str">
            <v>16 富山県</v>
          </cell>
        </row>
        <row r="17">
          <cell r="A17" t="str">
            <v>17 石川県</v>
          </cell>
        </row>
        <row r="18">
          <cell r="A18" t="str">
            <v>18 福井県</v>
          </cell>
        </row>
        <row r="19">
          <cell r="A19" t="str">
            <v>19 山梨県</v>
          </cell>
        </row>
        <row r="20">
          <cell r="A20" t="str">
            <v>20 長野県</v>
          </cell>
        </row>
        <row r="21">
          <cell r="A21" t="str">
            <v>21 岐阜県</v>
          </cell>
        </row>
        <row r="22">
          <cell r="A22" t="str">
            <v>22 静岡県</v>
          </cell>
        </row>
        <row r="23">
          <cell r="A23" t="str">
            <v>23 愛知県</v>
          </cell>
        </row>
        <row r="24">
          <cell r="A24" t="str">
            <v>24 三重県</v>
          </cell>
        </row>
        <row r="25">
          <cell r="A25" t="str">
            <v>25 滋賀県</v>
          </cell>
        </row>
        <row r="26">
          <cell r="A26" t="str">
            <v>26 京都府</v>
          </cell>
        </row>
        <row r="27">
          <cell r="A27" t="str">
            <v>27 大阪府</v>
          </cell>
        </row>
        <row r="28">
          <cell r="A28" t="str">
            <v>28 兵庫県</v>
          </cell>
        </row>
        <row r="29">
          <cell r="A29" t="str">
            <v>29 奈良県</v>
          </cell>
        </row>
        <row r="30">
          <cell r="A30" t="str">
            <v>30 和歌山県</v>
          </cell>
        </row>
        <row r="31">
          <cell r="A31" t="str">
            <v>31 鳥取県</v>
          </cell>
        </row>
        <row r="32">
          <cell r="A32" t="str">
            <v>32 島根県</v>
          </cell>
        </row>
        <row r="33">
          <cell r="A33" t="str">
            <v>33 岡山県</v>
          </cell>
        </row>
        <row r="34">
          <cell r="A34" t="str">
            <v>34 広島県</v>
          </cell>
        </row>
        <row r="35">
          <cell r="A35" t="str">
            <v>35 山口県</v>
          </cell>
        </row>
        <row r="36">
          <cell r="A36" t="str">
            <v>36 徳島県</v>
          </cell>
        </row>
        <row r="37">
          <cell r="A37" t="str">
            <v>37 香川県</v>
          </cell>
        </row>
        <row r="38">
          <cell r="A38" t="str">
            <v>38 愛媛県</v>
          </cell>
        </row>
        <row r="39">
          <cell r="A39" t="str">
            <v>39 高知県</v>
          </cell>
        </row>
        <row r="40">
          <cell r="A40" t="str">
            <v>40 福岡県</v>
          </cell>
        </row>
        <row r="41">
          <cell r="A41" t="str">
            <v>41 佐賀県</v>
          </cell>
        </row>
        <row r="42">
          <cell r="A42" t="str">
            <v>42 長崎県</v>
          </cell>
        </row>
        <row r="43">
          <cell r="A43" t="str">
            <v>43 熊本県</v>
          </cell>
        </row>
        <row r="44">
          <cell r="A44" t="str">
            <v>44 大分県</v>
          </cell>
        </row>
        <row r="45">
          <cell r="A45" t="str">
            <v>45 宮崎県</v>
          </cell>
        </row>
        <row r="46">
          <cell r="A46" t="str">
            <v>46 鹿児島県</v>
          </cell>
        </row>
        <row r="47">
          <cell r="A47" t="str">
            <v>47 沖縄県</v>
          </cell>
        </row>
        <row r="48">
          <cell r="A48" t="str">
            <v>48 札幌市</v>
          </cell>
        </row>
        <row r="49">
          <cell r="A49" t="str">
            <v>49 仙台市</v>
          </cell>
        </row>
        <row r="50">
          <cell r="A50" t="str">
            <v>50 さいたま市</v>
          </cell>
        </row>
        <row r="51">
          <cell r="A51" t="str">
            <v>51 千葉市</v>
          </cell>
        </row>
        <row r="52">
          <cell r="A52" t="str">
            <v>52 川崎市</v>
          </cell>
        </row>
        <row r="53">
          <cell r="A53" t="str">
            <v>53 横浜市</v>
          </cell>
        </row>
        <row r="54">
          <cell r="A54" t="str">
            <v>54 相模原市</v>
          </cell>
        </row>
        <row r="55">
          <cell r="A55" t="str">
            <v>55 新潟市</v>
          </cell>
        </row>
        <row r="56">
          <cell r="A56" t="str">
            <v>56 静岡市</v>
          </cell>
        </row>
        <row r="57">
          <cell r="A57" t="str">
            <v>57 浜松市</v>
          </cell>
        </row>
        <row r="58">
          <cell r="A58" t="str">
            <v>58 名古屋市</v>
          </cell>
        </row>
        <row r="59">
          <cell r="A59" t="str">
            <v>59 京都市</v>
          </cell>
        </row>
        <row r="60">
          <cell r="A60" t="str">
            <v>60 大阪市</v>
          </cell>
        </row>
        <row r="61">
          <cell r="A61" t="str">
            <v>61 堺市</v>
          </cell>
        </row>
        <row r="62">
          <cell r="A62" t="str">
            <v>62 神戸市</v>
          </cell>
        </row>
        <row r="63">
          <cell r="A63" t="str">
            <v>63 岡山市</v>
          </cell>
        </row>
        <row r="64">
          <cell r="A64" t="str">
            <v>64 広島市</v>
          </cell>
        </row>
        <row r="65">
          <cell r="A65" t="str">
            <v>65 北九州市</v>
          </cell>
        </row>
        <row r="66">
          <cell r="A66" t="str">
            <v>66 福岡市</v>
          </cell>
        </row>
        <row r="67">
          <cell r="A67" t="str">
            <v>67 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DV65"/>
  <sheetViews>
    <sheetView tabSelected="1" view="pageBreakPreview" zoomScale="70" zoomScaleNormal="70" zoomScaleSheetLayoutView="70" workbookViewId="0">
      <selection activeCell="AZ6" sqref="AZ6:BN6"/>
    </sheetView>
  </sheetViews>
  <sheetFormatPr defaultColWidth="9" defaultRowHeight="13.2" x14ac:dyDescent="0.2"/>
  <cols>
    <col min="1" max="13" width="8.21875" style="4" customWidth="1"/>
    <col min="14" max="16" width="9.21875" style="4" customWidth="1"/>
    <col min="17" max="70" width="6.109375" style="4" customWidth="1"/>
    <col min="71" max="71" width="23.44140625" style="4" customWidth="1"/>
    <col min="72" max="72" width="6.6640625" style="4" customWidth="1"/>
    <col min="73" max="126" width="6.109375" style="4" customWidth="1"/>
    <col min="127" max="16384" width="9" style="4"/>
  </cols>
  <sheetData>
    <row r="1" spans="1:101" customFormat="1" ht="36.9" customHeight="1" x14ac:dyDescent="0.2">
      <c r="A1" s="92" t="s">
        <v>173</v>
      </c>
      <c r="AF1" s="1"/>
      <c r="AG1" s="1"/>
      <c r="AH1" s="1"/>
      <c r="AI1" s="1"/>
      <c r="AJ1" s="1"/>
      <c r="AK1" s="1"/>
      <c r="AL1" s="1"/>
      <c r="AM1" s="1"/>
      <c r="AN1" s="1"/>
      <c r="AO1" s="1"/>
      <c r="AP1" s="1"/>
      <c r="AQ1" s="1"/>
      <c r="AR1" s="1"/>
      <c r="AS1" s="1"/>
      <c r="AT1" s="1"/>
      <c r="AU1" s="1"/>
      <c r="AV1" s="1"/>
      <c r="AW1" s="1"/>
      <c r="AX1" s="1"/>
      <c r="AY1" s="1"/>
      <c r="AZ1" s="1"/>
      <c r="BA1" s="1"/>
      <c r="BB1" s="1"/>
      <c r="BC1" s="1"/>
      <c r="BN1" s="191" t="str">
        <f>IF(SUM(CQ9:CW38)&gt;=1,"CHECK","")</f>
        <v/>
      </c>
      <c r="BO1" s="191"/>
      <c r="BP1" s="191"/>
      <c r="BQ1" s="191"/>
      <c r="BR1" s="191"/>
      <c r="BS1" s="55" t="str">
        <f>IF(SUM(CQ9:CW38)&gt;=1,"当事者の学校種と被害児童生徒の学校種が一致していませんが間違いありませんか。","")</f>
        <v/>
      </c>
    </row>
    <row r="2" spans="1:101" customFormat="1" ht="36" customHeight="1" x14ac:dyDescent="0.2">
      <c r="A2" s="153" t="s">
        <v>174</v>
      </c>
      <c r="B2" s="154"/>
      <c r="C2" s="157"/>
      <c r="D2" s="158"/>
      <c r="E2" s="158"/>
      <c r="F2" s="158"/>
      <c r="G2" s="158"/>
      <c r="H2" s="158"/>
      <c r="I2" s="158"/>
      <c r="J2" s="158"/>
      <c r="K2" s="158"/>
      <c r="L2" s="158"/>
      <c r="M2" s="158"/>
      <c r="N2" s="158"/>
      <c r="O2" s="158"/>
      <c r="P2" s="158"/>
      <c r="Q2" s="158"/>
      <c r="R2" s="159"/>
      <c r="S2" s="155" t="s">
        <v>0</v>
      </c>
      <c r="T2" s="156"/>
      <c r="U2" s="156"/>
      <c r="V2" s="156"/>
      <c r="W2" s="156"/>
      <c r="X2" s="156"/>
      <c r="Y2" s="156"/>
      <c r="Z2" s="156"/>
      <c r="AA2" s="156"/>
      <c r="AB2" s="157"/>
      <c r="AC2" s="158"/>
      <c r="AD2" s="158"/>
      <c r="AE2" s="158"/>
      <c r="AF2" s="158"/>
      <c r="AG2" s="158"/>
      <c r="AH2" s="158"/>
      <c r="AI2" s="158"/>
      <c r="AJ2" s="158"/>
      <c r="AK2" s="158"/>
      <c r="AL2" s="158"/>
      <c r="AM2" s="158"/>
      <c r="AN2" s="158"/>
      <c r="AO2" s="158"/>
      <c r="AP2" s="158"/>
      <c r="AQ2" s="158"/>
      <c r="AR2" s="159"/>
      <c r="AS2" s="1"/>
      <c r="AT2" s="1"/>
      <c r="BR2" s="2"/>
      <c r="BS2" s="55" t="str">
        <f>IF(SUM(CQ9:CW38)&gt;=1,"（一致していなくても間違いない場合はそのまま提出してかまいません。）","")</f>
        <v/>
      </c>
    </row>
    <row r="3" spans="1:101" customFormat="1" ht="36" customHeight="1" x14ac:dyDescent="0.2">
      <c r="A3" s="155" t="s">
        <v>1</v>
      </c>
      <c r="B3" s="156"/>
      <c r="C3" s="160"/>
      <c r="D3" s="160"/>
      <c r="E3" s="155" t="s">
        <v>52</v>
      </c>
      <c r="F3" s="156"/>
      <c r="G3" s="156"/>
      <c r="H3" s="156"/>
      <c r="I3" s="156"/>
      <c r="J3" s="156"/>
      <c r="K3" s="156"/>
      <c r="L3" s="156"/>
      <c r="M3" s="157"/>
      <c r="N3" s="158"/>
      <c r="O3" s="158"/>
      <c r="P3" s="158"/>
      <c r="Q3" s="158"/>
      <c r="R3" s="158"/>
      <c r="S3" s="158"/>
      <c r="T3" s="158"/>
      <c r="U3" s="158"/>
      <c r="V3" s="158"/>
      <c r="W3" s="155" t="s">
        <v>2</v>
      </c>
      <c r="X3" s="156"/>
      <c r="Y3" s="156"/>
      <c r="Z3" s="156"/>
      <c r="AA3" s="161"/>
      <c r="AB3" s="162"/>
      <c r="AC3" s="158"/>
      <c r="AD3" s="158"/>
      <c r="AE3" s="158"/>
      <c r="AF3" s="158"/>
      <c r="AG3" s="158"/>
      <c r="AH3" s="158"/>
      <c r="AI3" s="158"/>
      <c r="AJ3" s="158"/>
      <c r="AK3" s="158"/>
      <c r="AL3" s="158"/>
      <c r="AM3" s="158"/>
      <c r="AN3" s="158"/>
      <c r="AO3" s="158"/>
      <c r="AP3" s="158"/>
      <c r="AQ3" s="158"/>
      <c r="AR3" s="159"/>
      <c r="AS3" s="1"/>
      <c r="AT3" s="1"/>
      <c r="BC3" s="3"/>
      <c r="BD3" s="3"/>
      <c r="BE3" s="3"/>
      <c r="BF3" s="3"/>
      <c r="BG3" s="3"/>
      <c r="BH3" s="3"/>
      <c r="BN3" s="191" t="str">
        <f>IF(COUNTIF(CD9:CD38,"未入力の欄があります。")&gt;=1,"未入力あり","")</f>
        <v/>
      </c>
      <c r="BO3" s="191"/>
      <c r="BP3" s="191"/>
      <c r="BQ3" s="191"/>
      <c r="BR3" s="191"/>
    </row>
    <row r="4" spans="1:101" ht="18" customHeight="1" thickBot="1" x14ac:dyDescent="0.25">
      <c r="E4" s="5"/>
      <c r="F4" s="5"/>
      <c r="G4" s="5"/>
      <c r="H4" s="5"/>
      <c r="I4" s="5"/>
      <c r="J4" s="5"/>
      <c r="K4" s="5"/>
      <c r="L4" s="5"/>
      <c r="M4" s="5"/>
      <c r="N4" s="5"/>
      <c r="O4" s="5"/>
      <c r="BC4" s="6"/>
      <c r="BN4" s="192" t="s">
        <v>31</v>
      </c>
      <c r="BO4" s="192"/>
      <c r="BP4" s="192"/>
      <c r="BQ4" s="192"/>
      <c r="BR4" s="192"/>
    </row>
    <row r="5" spans="1:101" ht="33.9" customHeight="1" x14ac:dyDescent="0.2">
      <c r="A5" s="163" t="s">
        <v>32</v>
      </c>
      <c r="B5" s="229" t="s">
        <v>211</v>
      </c>
      <c r="C5" s="230"/>
      <c r="D5" s="230"/>
      <c r="E5" s="230"/>
      <c r="F5" s="230"/>
      <c r="G5" s="230"/>
      <c r="H5" s="230"/>
      <c r="I5" s="230"/>
      <c r="J5" s="230"/>
      <c r="K5" s="230"/>
      <c r="L5" s="230"/>
      <c r="M5" s="231"/>
      <c r="N5" s="166" t="s">
        <v>33</v>
      </c>
      <c r="O5" s="167"/>
      <c r="P5" s="167"/>
      <c r="Q5" s="172" t="s">
        <v>34</v>
      </c>
      <c r="R5" s="196" t="s">
        <v>172</v>
      </c>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8"/>
      <c r="BO5" s="234" t="s">
        <v>4</v>
      </c>
      <c r="BP5" s="235"/>
      <c r="BQ5" s="240" t="s">
        <v>5</v>
      </c>
      <c r="BR5" s="240" t="s">
        <v>6</v>
      </c>
      <c r="BS5" s="175" t="s">
        <v>7</v>
      </c>
      <c r="BT5" s="176"/>
      <c r="BU5" s="176"/>
      <c r="BV5" s="176"/>
      <c r="BW5" s="177"/>
      <c r="BX5" s="193" t="s">
        <v>8</v>
      </c>
      <c r="BY5" s="194"/>
      <c r="BZ5" s="194"/>
      <c r="CA5" s="194"/>
      <c r="CB5" s="194"/>
      <c r="CC5" s="195"/>
    </row>
    <row r="6" spans="1:101" ht="33.9" customHeight="1" x14ac:dyDescent="0.2">
      <c r="A6" s="164"/>
      <c r="B6" s="107"/>
      <c r="C6" s="107"/>
      <c r="D6" s="107"/>
      <c r="E6" s="107"/>
      <c r="F6" s="107"/>
      <c r="G6" s="107"/>
      <c r="H6" s="107"/>
      <c r="I6" s="107"/>
      <c r="J6" s="107"/>
      <c r="K6" s="107"/>
      <c r="L6" s="107"/>
      <c r="M6" s="107"/>
      <c r="N6" s="168"/>
      <c r="O6" s="169"/>
      <c r="P6" s="169"/>
      <c r="Q6" s="173"/>
      <c r="R6" s="178" t="s">
        <v>158</v>
      </c>
      <c r="S6" s="179"/>
      <c r="T6" s="179"/>
      <c r="U6" s="180"/>
      <c r="V6" s="178" t="s">
        <v>12</v>
      </c>
      <c r="W6" s="179"/>
      <c r="X6" s="179"/>
      <c r="Y6" s="179"/>
      <c r="Z6" s="179"/>
      <c r="AA6" s="180"/>
      <c r="AB6" s="178" t="s">
        <v>13</v>
      </c>
      <c r="AC6" s="179"/>
      <c r="AD6" s="180"/>
      <c r="AE6" s="178" t="s">
        <v>30</v>
      </c>
      <c r="AF6" s="179"/>
      <c r="AG6" s="179"/>
      <c r="AH6" s="179"/>
      <c r="AI6" s="179"/>
      <c r="AJ6" s="179"/>
      <c r="AK6" s="179"/>
      <c r="AL6" s="179"/>
      <c r="AM6" s="180"/>
      <c r="AN6" s="178" t="s">
        <v>14</v>
      </c>
      <c r="AO6" s="179"/>
      <c r="AP6" s="179"/>
      <c r="AQ6" s="180"/>
      <c r="AR6" s="184" t="s">
        <v>15</v>
      </c>
      <c r="AS6" s="185"/>
      <c r="AT6" s="185"/>
      <c r="AU6" s="185"/>
      <c r="AV6" s="185"/>
      <c r="AW6" s="185"/>
      <c r="AX6" s="185"/>
      <c r="AY6" s="186"/>
      <c r="AZ6" s="185" t="s">
        <v>164</v>
      </c>
      <c r="BA6" s="185"/>
      <c r="BB6" s="185"/>
      <c r="BC6" s="185"/>
      <c r="BD6" s="185"/>
      <c r="BE6" s="185"/>
      <c r="BF6" s="185"/>
      <c r="BG6" s="185"/>
      <c r="BH6" s="185"/>
      <c r="BI6" s="185"/>
      <c r="BJ6" s="185"/>
      <c r="BK6" s="185"/>
      <c r="BL6" s="185"/>
      <c r="BM6" s="185"/>
      <c r="BN6" s="187"/>
      <c r="BO6" s="236"/>
      <c r="BP6" s="237"/>
      <c r="BQ6" s="241"/>
      <c r="BR6" s="241"/>
      <c r="BS6" s="199" t="s">
        <v>169</v>
      </c>
      <c r="BT6" s="202" t="s">
        <v>17</v>
      </c>
      <c r="BU6" s="202" t="s">
        <v>18</v>
      </c>
      <c r="BV6" s="202" t="s">
        <v>19</v>
      </c>
      <c r="BW6" s="188" t="s">
        <v>20</v>
      </c>
      <c r="BX6" s="199" t="s">
        <v>21</v>
      </c>
      <c r="BY6" s="202" t="s">
        <v>22</v>
      </c>
      <c r="BZ6" s="202" t="s">
        <v>170</v>
      </c>
      <c r="CA6" s="202" t="s">
        <v>171</v>
      </c>
      <c r="CB6" s="202" t="s">
        <v>23</v>
      </c>
      <c r="CC6" s="205" t="s">
        <v>24</v>
      </c>
    </row>
    <row r="7" spans="1:101" ht="33.9" customHeight="1" x14ac:dyDescent="0.2">
      <c r="A7" s="164"/>
      <c r="B7" s="232" t="s">
        <v>205</v>
      </c>
      <c r="C7" s="232"/>
      <c r="D7" s="232" t="s">
        <v>206</v>
      </c>
      <c r="E7" s="232"/>
      <c r="F7" s="232" t="s">
        <v>207</v>
      </c>
      <c r="G7" s="232"/>
      <c r="H7" s="232" t="s">
        <v>208</v>
      </c>
      <c r="I7" s="232"/>
      <c r="J7" s="232" t="s">
        <v>209</v>
      </c>
      <c r="K7" s="232"/>
      <c r="L7" s="232" t="s">
        <v>210</v>
      </c>
      <c r="M7" s="233"/>
      <c r="N7" s="170"/>
      <c r="O7" s="171"/>
      <c r="P7" s="171"/>
      <c r="Q7" s="173"/>
      <c r="R7" s="181"/>
      <c r="S7" s="182"/>
      <c r="T7" s="182"/>
      <c r="U7" s="183"/>
      <c r="V7" s="181"/>
      <c r="W7" s="182"/>
      <c r="X7" s="182"/>
      <c r="Y7" s="182"/>
      <c r="Z7" s="182"/>
      <c r="AA7" s="183"/>
      <c r="AB7" s="181"/>
      <c r="AC7" s="182"/>
      <c r="AD7" s="183"/>
      <c r="AE7" s="181"/>
      <c r="AF7" s="182"/>
      <c r="AG7" s="182"/>
      <c r="AH7" s="182"/>
      <c r="AI7" s="182"/>
      <c r="AJ7" s="182"/>
      <c r="AK7" s="182"/>
      <c r="AL7" s="182"/>
      <c r="AM7" s="183"/>
      <c r="AN7" s="181"/>
      <c r="AO7" s="182"/>
      <c r="AP7" s="182"/>
      <c r="AQ7" s="183"/>
      <c r="AR7" s="184" t="s">
        <v>25</v>
      </c>
      <c r="AS7" s="185"/>
      <c r="AT7" s="185"/>
      <c r="AU7" s="186"/>
      <c r="AV7" s="184" t="s">
        <v>26</v>
      </c>
      <c r="AW7" s="185"/>
      <c r="AX7" s="185"/>
      <c r="AY7" s="186"/>
      <c r="AZ7" s="185" t="s">
        <v>163</v>
      </c>
      <c r="BA7" s="185"/>
      <c r="BB7" s="186"/>
      <c r="BC7" s="184" t="s">
        <v>27</v>
      </c>
      <c r="BD7" s="185"/>
      <c r="BE7" s="186"/>
      <c r="BF7" s="185"/>
      <c r="BG7" s="185"/>
      <c r="BH7" s="186"/>
      <c r="BI7" s="184" t="s">
        <v>28</v>
      </c>
      <c r="BJ7" s="185"/>
      <c r="BK7" s="186"/>
      <c r="BL7" s="184" t="s">
        <v>29</v>
      </c>
      <c r="BM7" s="185"/>
      <c r="BN7" s="187"/>
      <c r="BO7" s="238"/>
      <c r="BP7" s="239"/>
      <c r="BQ7" s="241"/>
      <c r="BR7" s="241"/>
      <c r="BS7" s="200"/>
      <c r="BT7" s="203"/>
      <c r="BU7" s="203"/>
      <c r="BV7" s="203"/>
      <c r="BW7" s="189"/>
      <c r="BX7" s="200"/>
      <c r="BY7" s="203"/>
      <c r="BZ7" s="203"/>
      <c r="CA7" s="203"/>
      <c r="CB7" s="203"/>
      <c r="CC7" s="206"/>
      <c r="CE7" s="152" t="s">
        <v>165</v>
      </c>
      <c r="CF7" s="120" t="s">
        <v>60</v>
      </c>
      <c r="CG7" s="121"/>
      <c r="CH7" s="121"/>
      <c r="CI7" s="121"/>
      <c r="CJ7" s="121"/>
      <c r="CK7" s="121"/>
      <c r="CL7" s="121"/>
      <c r="CM7" s="121"/>
      <c r="CN7" s="121"/>
      <c r="CO7" s="122"/>
      <c r="CQ7" s="120" t="s">
        <v>61</v>
      </c>
      <c r="CR7" s="121"/>
      <c r="CS7" s="121"/>
      <c r="CT7" s="121"/>
      <c r="CU7" s="121"/>
      <c r="CV7" s="121"/>
      <c r="CW7" s="122"/>
    </row>
    <row r="8" spans="1:101" ht="42" customHeight="1" thickBot="1" x14ac:dyDescent="0.25">
      <c r="A8" s="165"/>
      <c r="B8" s="116" t="s">
        <v>81</v>
      </c>
      <c r="C8" s="116" t="s">
        <v>82</v>
      </c>
      <c r="D8" s="116" t="s">
        <v>81</v>
      </c>
      <c r="E8" s="116" t="s">
        <v>82</v>
      </c>
      <c r="F8" s="116" t="s">
        <v>81</v>
      </c>
      <c r="G8" s="116" t="s">
        <v>82</v>
      </c>
      <c r="H8" s="116" t="s">
        <v>81</v>
      </c>
      <c r="I8" s="116" t="s">
        <v>82</v>
      </c>
      <c r="J8" s="116" t="s">
        <v>81</v>
      </c>
      <c r="K8" s="116" t="s">
        <v>82</v>
      </c>
      <c r="L8" s="116" t="s">
        <v>81</v>
      </c>
      <c r="M8" s="118" t="s">
        <v>82</v>
      </c>
      <c r="N8" s="44" t="s">
        <v>9</v>
      </c>
      <c r="O8" s="45" t="s">
        <v>10</v>
      </c>
      <c r="P8" s="45" t="s">
        <v>11</v>
      </c>
      <c r="Q8" s="174"/>
      <c r="R8" s="43" t="s">
        <v>162</v>
      </c>
      <c r="S8" s="43" t="s">
        <v>159</v>
      </c>
      <c r="T8" s="43" t="s">
        <v>160</v>
      </c>
      <c r="U8" s="43" t="s">
        <v>161</v>
      </c>
      <c r="V8" s="43" t="s">
        <v>53</v>
      </c>
      <c r="W8" s="43" t="s">
        <v>54</v>
      </c>
      <c r="X8" s="43" t="s">
        <v>55</v>
      </c>
      <c r="Y8" s="43" t="s">
        <v>56</v>
      </c>
      <c r="Z8" s="43" t="s">
        <v>57</v>
      </c>
      <c r="AA8" s="43" t="s">
        <v>58</v>
      </c>
      <c r="AB8" s="43" t="s">
        <v>53</v>
      </c>
      <c r="AC8" s="43" t="s">
        <v>54</v>
      </c>
      <c r="AD8" s="43" t="s">
        <v>55</v>
      </c>
      <c r="AE8" s="43" t="s">
        <v>43</v>
      </c>
      <c r="AF8" s="43" t="s">
        <v>44</v>
      </c>
      <c r="AG8" s="43" t="s">
        <v>45</v>
      </c>
      <c r="AH8" s="43" t="s">
        <v>46</v>
      </c>
      <c r="AI8" s="43" t="s">
        <v>47</v>
      </c>
      <c r="AJ8" s="43" t="s">
        <v>48</v>
      </c>
      <c r="AK8" s="43" t="s">
        <v>49</v>
      </c>
      <c r="AL8" s="43" t="s">
        <v>50</v>
      </c>
      <c r="AM8" s="43" t="s">
        <v>51</v>
      </c>
      <c r="AN8" s="43" t="s">
        <v>53</v>
      </c>
      <c r="AO8" s="43" t="s">
        <v>54</v>
      </c>
      <c r="AP8" s="43" t="s">
        <v>55</v>
      </c>
      <c r="AQ8" s="43" t="s">
        <v>151</v>
      </c>
      <c r="AR8" s="43" t="s">
        <v>53</v>
      </c>
      <c r="AS8" s="43" t="s">
        <v>54</v>
      </c>
      <c r="AT8" s="43" t="s">
        <v>55</v>
      </c>
      <c r="AU8" s="43" t="s">
        <v>151</v>
      </c>
      <c r="AV8" s="43" t="s">
        <v>53</v>
      </c>
      <c r="AW8" s="43" t="s">
        <v>54</v>
      </c>
      <c r="AX8" s="43" t="s">
        <v>55</v>
      </c>
      <c r="AY8" s="43" t="s">
        <v>151</v>
      </c>
      <c r="AZ8" s="43" t="s">
        <v>159</v>
      </c>
      <c r="BA8" s="43" t="s">
        <v>160</v>
      </c>
      <c r="BB8" s="43" t="s">
        <v>161</v>
      </c>
      <c r="BC8" s="43" t="s">
        <v>53</v>
      </c>
      <c r="BD8" s="43" t="s">
        <v>54</v>
      </c>
      <c r="BE8" s="43" t="s">
        <v>55</v>
      </c>
      <c r="BF8" s="43" t="s">
        <v>56</v>
      </c>
      <c r="BG8" s="43" t="s">
        <v>57</v>
      </c>
      <c r="BH8" s="43" t="s">
        <v>58</v>
      </c>
      <c r="BI8" s="43" t="s">
        <v>53</v>
      </c>
      <c r="BJ8" s="43" t="s">
        <v>54</v>
      </c>
      <c r="BK8" s="43" t="s">
        <v>55</v>
      </c>
      <c r="BL8" s="43" t="s">
        <v>53</v>
      </c>
      <c r="BM8" s="43" t="s">
        <v>54</v>
      </c>
      <c r="BN8" s="43" t="s">
        <v>55</v>
      </c>
      <c r="BO8" s="46" t="s">
        <v>35</v>
      </c>
      <c r="BP8" s="47" t="s">
        <v>36</v>
      </c>
      <c r="BQ8" s="242"/>
      <c r="BR8" s="242"/>
      <c r="BS8" s="201"/>
      <c r="BT8" s="204"/>
      <c r="BU8" s="204"/>
      <c r="BV8" s="204"/>
      <c r="BW8" s="190"/>
      <c r="BX8" s="201"/>
      <c r="BY8" s="204"/>
      <c r="BZ8" s="204"/>
      <c r="CA8" s="204"/>
      <c r="CB8" s="204"/>
      <c r="CC8" s="207"/>
      <c r="CE8" s="152"/>
      <c r="CF8" s="52" t="s">
        <v>59</v>
      </c>
      <c r="CG8" s="52" t="s">
        <v>62</v>
      </c>
      <c r="CH8" s="52" t="s">
        <v>63</v>
      </c>
      <c r="CI8" s="52" t="s">
        <v>64</v>
      </c>
      <c r="CJ8" s="52" t="s">
        <v>65</v>
      </c>
      <c r="CK8" s="52" t="s">
        <v>66</v>
      </c>
      <c r="CL8" s="52" t="s">
        <v>67</v>
      </c>
      <c r="CM8" s="52" t="s">
        <v>68</v>
      </c>
      <c r="CN8" s="52" t="s">
        <v>69</v>
      </c>
      <c r="CO8" s="52" t="s">
        <v>70</v>
      </c>
      <c r="CQ8" s="53" t="s">
        <v>166</v>
      </c>
      <c r="CR8" s="52" t="s">
        <v>71</v>
      </c>
      <c r="CS8" s="52" t="s">
        <v>72</v>
      </c>
      <c r="CT8" s="52" t="s">
        <v>73</v>
      </c>
      <c r="CU8" s="52" t="s">
        <v>74</v>
      </c>
      <c r="CV8" s="52" t="s">
        <v>75</v>
      </c>
      <c r="CW8" s="52" t="s">
        <v>76</v>
      </c>
    </row>
    <row r="9" spans="1:101" ht="23.4" customHeight="1" x14ac:dyDescent="0.2">
      <c r="A9" s="48">
        <v>1</v>
      </c>
      <c r="B9" s="117"/>
      <c r="C9" s="117"/>
      <c r="D9" s="117"/>
      <c r="E9" s="117"/>
      <c r="F9" s="117"/>
      <c r="G9" s="117"/>
      <c r="H9" s="117"/>
      <c r="I9" s="117"/>
      <c r="J9" s="117"/>
      <c r="K9" s="117"/>
      <c r="L9" s="117"/>
      <c r="M9" s="119"/>
      <c r="N9" s="19"/>
      <c r="O9" s="20"/>
      <c r="P9" s="20"/>
      <c r="Q9" s="21"/>
      <c r="R9" s="32"/>
      <c r="S9" s="31"/>
      <c r="T9" s="31"/>
      <c r="U9" s="31"/>
      <c r="V9" s="32"/>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3"/>
      <c r="BG9" s="31"/>
      <c r="BH9" s="31"/>
      <c r="BI9" s="31"/>
      <c r="BJ9" s="31"/>
      <c r="BK9" s="31"/>
      <c r="BL9" s="31"/>
      <c r="BM9" s="31"/>
      <c r="BN9" s="34"/>
      <c r="BO9" s="20"/>
      <c r="BP9" s="20"/>
      <c r="BQ9" s="28"/>
      <c r="BR9" s="20"/>
      <c r="BS9" s="7"/>
      <c r="BT9" s="9"/>
      <c r="BU9" s="9"/>
      <c r="BV9" s="9"/>
      <c r="BW9" s="8"/>
      <c r="BX9" s="7"/>
      <c r="BY9" s="9"/>
      <c r="BZ9" s="9"/>
      <c r="CA9" s="9"/>
      <c r="CB9" s="9"/>
      <c r="CC9" s="10"/>
      <c r="CD9" s="56" t="str">
        <f>IF((AND(CE9&gt;=1,CO9&gt;=1)),"未入力の欄があります。","")</f>
        <v/>
      </c>
      <c r="CE9" s="53">
        <f t="shared" ref="CE9:CE38" si="0">COUNTA(N9,O9,P9)</f>
        <v>0</v>
      </c>
      <c r="CF9" s="53">
        <f t="shared" ref="CF9:CF38" si="1">IF(OR(COUNTA(N9,O9,P9)=1,COUNTA(N9,O9,P9)=2),1,0)</f>
        <v>0</v>
      </c>
      <c r="CG9" s="53">
        <f t="shared" ref="CG9:CG38" si="2">IF(COUNTA(Q9)=0,1,0)</f>
        <v>1</v>
      </c>
      <c r="CH9" s="53">
        <f t="shared" ref="CH9:CH38" si="3">IF(SUM(R9:BN9)=0,1,0)</f>
        <v>1</v>
      </c>
      <c r="CI9" s="53">
        <f t="shared" ref="CI9:CI38" si="4">IF(COUNTA(BO9)=0,1,0)</f>
        <v>1</v>
      </c>
      <c r="CJ9" s="53">
        <f t="shared" ref="CJ9:CJ38" si="5">IF(COUNTA(BP9)=0,1,0)</f>
        <v>1</v>
      </c>
      <c r="CK9" s="53">
        <f t="shared" ref="CK9:CK38" si="6">IF(COUNTA(BQ9)=0,1,0)</f>
        <v>1</v>
      </c>
      <c r="CL9" s="53">
        <f t="shared" ref="CL9:CL38" si="7">IF(COUNTA(BR9)=0,1,0)</f>
        <v>1</v>
      </c>
      <c r="CM9" s="53">
        <f t="shared" ref="CM9:CM38" si="8">IF(SUM(BS9:BW9)=0,1,0)</f>
        <v>1</v>
      </c>
      <c r="CN9" s="53">
        <f t="shared" ref="CN9:CN38" si="9">IF(SUM(BX9:CC9)=0,1,0)</f>
        <v>1</v>
      </c>
      <c r="CO9" s="53">
        <f>SUM(CF9:CN9)</f>
        <v>8</v>
      </c>
      <c r="CQ9" s="73" t="str">
        <f t="shared" ref="CQ9:CQ38" si="10">IF(AND(N9="ア 幼稚園",SUM(V9:BN9)&gt;=1),1,"")</f>
        <v/>
      </c>
      <c r="CR9" s="54" t="str">
        <f t="shared" ref="CR9:CR38" si="11">IF(AND(N9="イ 小学校",SUM(R9:U9,AB9:BN9)&gt;=1),1,"")</f>
        <v/>
      </c>
      <c r="CS9" s="54" t="str">
        <f t="shared" ref="CS9:CS38" si="12">IF(AND(N9="ウ 中学校",SUM(R9:AA9,AE9:BN9)&gt;=1),1,"")</f>
        <v/>
      </c>
      <c r="CT9" s="54" t="str">
        <f t="shared" ref="CT9:CT38" si="13">IF(AND(N9="エ 義務教育学校",SUM(R9:AD9,AN9:BN9)&gt;=1),1,"")</f>
        <v/>
      </c>
      <c r="CU9" s="54" t="str">
        <f t="shared" ref="CU9:CU38" si="14">IF(AND(N9="オ 高等学校",SUM(R9:AM9,AR9:BN9)&gt;=1),1,"")</f>
        <v/>
      </c>
      <c r="CV9" s="54" t="str">
        <f t="shared" ref="CV9:CV38" si="15">IF(AND(N9="カ 中等教育学校",SUM(R9:AQ9,AZ9:BN9)&gt;=1),1,"")</f>
        <v/>
      </c>
      <c r="CW9" s="54" t="str">
        <f t="shared" ref="CW9:CW38" si="16">IF(AND(N9="キ 特別支援学校",SUM(R9:AY9)&gt;=1),1,"")</f>
        <v/>
      </c>
    </row>
    <row r="10" spans="1:101" ht="23.4" customHeight="1" x14ac:dyDescent="0.2">
      <c r="A10" s="49">
        <v>2</v>
      </c>
      <c r="B10" s="117"/>
      <c r="C10" s="117"/>
      <c r="D10" s="117"/>
      <c r="E10" s="117"/>
      <c r="F10" s="117"/>
      <c r="G10" s="117"/>
      <c r="H10" s="117"/>
      <c r="I10" s="117"/>
      <c r="J10" s="117"/>
      <c r="K10" s="117"/>
      <c r="L10" s="117"/>
      <c r="M10" s="119"/>
      <c r="N10" s="22"/>
      <c r="O10" s="23"/>
      <c r="P10" s="23"/>
      <c r="Q10" s="24"/>
      <c r="R10" s="35"/>
      <c r="S10" s="36"/>
      <c r="T10" s="36"/>
      <c r="U10" s="36"/>
      <c r="V10" s="35"/>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7"/>
      <c r="BG10" s="36"/>
      <c r="BH10" s="36"/>
      <c r="BI10" s="36"/>
      <c r="BJ10" s="36"/>
      <c r="BK10" s="36"/>
      <c r="BL10" s="36"/>
      <c r="BM10" s="36"/>
      <c r="BN10" s="38"/>
      <c r="BO10" s="23"/>
      <c r="BP10" s="23"/>
      <c r="BQ10" s="29"/>
      <c r="BR10" s="23"/>
      <c r="BS10" s="11"/>
      <c r="BT10" s="13"/>
      <c r="BU10" s="13"/>
      <c r="BV10" s="13"/>
      <c r="BW10" s="12"/>
      <c r="BX10" s="11"/>
      <c r="BY10" s="13"/>
      <c r="BZ10" s="13"/>
      <c r="CA10" s="13"/>
      <c r="CB10" s="13"/>
      <c r="CC10" s="14"/>
      <c r="CD10" s="56" t="str">
        <f t="shared" ref="CD10:CD38" si="17">IF((AND(CE10&gt;=1,CO10&gt;=1)),"未入力の欄があります。","")</f>
        <v/>
      </c>
      <c r="CE10" s="53">
        <f t="shared" si="0"/>
        <v>0</v>
      </c>
      <c r="CF10" s="53">
        <f t="shared" si="1"/>
        <v>0</v>
      </c>
      <c r="CG10" s="53">
        <f t="shared" si="2"/>
        <v>1</v>
      </c>
      <c r="CH10" s="53">
        <f t="shared" si="3"/>
        <v>1</v>
      </c>
      <c r="CI10" s="53">
        <f t="shared" si="4"/>
        <v>1</v>
      </c>
      <c r="CJ10" s="53">
        <f t="shared" si="5"/>
        <v>1</v>
      </c>
      <c r="CK10" s="53">
        <f t="shared" si="6"/>
        <v>1</v>
      </c>
      <c r="CL10" s="53">
        <f t="shared" si="7"/>
        <v>1</v>
      </c>
      <c r="CM10" s="53">
        <f t="shared" si="8"/>
        <v>1</v>
      </c>
      <c r="CN10" s="53">
        <f t="shared" si="9"/>
        <v>1</v>
      </c>
      <c r="CO10" s="53">
        <f t="shared" ref="CO10:CO38" si="18">SUM(CF10:CN10)</f>
        <v>8</v>
      </c>
      <c r="CQ10" s="73" t="str">
        <f t="shared" si="10"/>
        <v/>
      </c>
      <c r="CR10" s="54" t="str">
        <f t="shared" si="11"/>
        <v/>
      </c>
      <c r="CS10" s="54" t="str">
        <f t="shared" si="12"/>
        <v/>
      </c>
      <c r="CT10" s="54" t="str">
        <f t="shared" si="13"/>
        <v/>
      </c>
      <c r="CU10" s="54" t="str">
        <f t="shared" si="14"/>
        <v/>
      </c>
      <c r="CV10" s="54" t="str">
        <f t="shared" si="15"/>
        <v/>
      </c>
      <c r="CW10" s="54" t="str">
        <f t="shared" si="16"/>
        <v/>
      </c>
    </row>
    <row r="11" spans="1:101" ht="23.4" customHeight="1" x14ac:dyDescent="0.2">
      <c r="A11" s="49">
        <v>3</v>
      </c>
      <c r="B11" s="117"/>
      <c r="C11" s="117"/>
      <c r="D11" s="117"/>
      <c r="E11" s="117"/>
      <c r="F11" s="117"/>
      <c r="G11" s="117"/>
      <c r="H11" s="117"/>
      <c r="I11" s="117"/>
      <c r="J11" s="117"/>
      <c r="K11" s="117"/>
      <c r="L11" s="117"/>
      <c r="M11" s="119"/>
      <c r="N11" s="22"/>
      <c r="O11" s="23"/>
      <c r="P11" s="23"/>
      <c r="Q11" s="24"/>
      <c r="R11" s="35"/>
      <c r="S11" s="36"/>
      <c r="T11" s="36"/>
      <c r="U11" s="36"/>
      <c r="V11" s="35"/>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7"/>
      <c r="BG11" s="36"/>
      <c r="BH11" s="36"/>
      <c r="BI11" s="36"/>
      <c r="BJ11" s="36"/>
      <c r="BK11" s="36"/>
      <c r="BL11" s="36"/>
      <c r="BM11" s="36"/>
      <c r="BN11" s="38"/>
      <c r="BO11" s="23"/>
      <c r="BP11" s="23"/>
      <c r="BQ11" s="29"/>
      <c r="BR11" s="23"/>
      <c r="BS11" s="11"/>
      <c r="BT11" s="13"/>
      <c r="BU11" s="13"/>
      <c r="BV11" s="13"/>
      <c r="BW11" s="12"/>
      <c r="BX11" s="11"/>
      <c r="BY11" s="13"/>
      <c r="BZ11" s="13"/>
      <c r="CA11" s="13"/>
      <c r="CB11" s="13"/>
      <c r="CC11" s="14"/>
      <c r="CD11" s="56" t="str">
        <f t="shared" si="17"/>
        <v/>
      </c>
      <c r="CE11" s="53">
        <f t="shared" si="0"/>
        <v>0</v>
      </c>
      <c r="CF11" s="53">
        <f t="shared" si="1"/>
        <v>0</v>
      </c>
      <c r="CG11" s="53">
        <f t="shared" si="2"/>
        <v>1</v>
      </c>
      <c r="CH11" s="53">
        <f t="shared" si="3"/>
        <v>1</v>
      </c>
      <c r="CI11" s="53">
        <f t="shared" si="4"/>
        <v>1</v>
      </c>
      <c r="CJ11" s="53">
        <f t="shared" si="5"/>
        <v>1</v>
      </c>
      <c r="CK11" s="53">
        <f t="shared" si="6"/>
        <v>1</v>
      </c>
      <c r="CL11" s="53">
        <f t="shared" si="7"/>
        <v>1</v>
      </c>
      <c r="CM11" s="53">
        <f t="shared" si="8"/>
        <v>1</v>
      </c>
      <c r="CN11" s="53">
        <f t="shared" si="9"/>
        <v>1</v>
      </c>
      <c r="CO11" s="53">
        <f t="shared" si="18"/>
        <v>8</v>
      </c>
      <c r="CQ11" s="73" t="str">
        <f t="shared" si="10"/>
        <v/>
      </c>
      <c r="CR11" s="54" t="str">
        <f t="shared" si="11"/>
        <v/>
      </c>
      <c r="CS11" s="54" t="str">
        <f t="shared" si="12"/>
        <v/>
      </c>
      <c r="CT11" s="54" t="str">
        <f t="shared" si="13"/>
        <v/>
      </c>
      <c r="CU11" s="54" t="str">
        <f t="shared" si="14"/>
        <v/>
      </c>
      <c r="CV11" s="54" t="str">
        <f t="shared" si="15"/>
        <v/>
      </c>
      <c r="CW11" s="54" t="str">
        <f t="shared" si="16"/>
        <v/>
      </c>
    </row>
    <row r="12" spans="1:101" ht="23.4" customHeight="1" x14ac:dyDescent="0.2">
      <c r="A12" s="49">
        <v>4</v>
      </c>
      <c r="B12" s="117"/>
      <c r="C12" s="117"/>
      <c r="D12" s="117"/>
      <c r="E12" s="117"/>
      <c r="F12" s="117"/>
      <c r="G12" s="117"/>
      <c r="H12" s="117"/>
      <c r="I12" s="117"/>
      <c r="J12" s="117"/>
      <c r="K12" s="117"/>
      <c r="L12" s="117"/>
      <c r="M12" s="119"/>
      <c r="N12" s="22"/>
      <c r="O12" s="23"/>
      <c r="P12" s="23"/>
      <c r="Q12" s="24"/>
      <c r="R12" s="35"/>
      <c r="S12" s="36"/>
      <c r="T12" s="36"/>
      <c r="U12" s="36"/>
      <c r="V12" s="35"/>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7"/>
      <c r="BG12" s="36"/>
      <c r="BH12" s="36"/>
      <c r="BI12" s="36"/>
      <c r="BJ12" s="36"/>
      <c r="BK12" s="36"/>
      <c r="BL12" s="36"/>
      <c r="BM12" s="36"/>
      <c r="BN12" s="38"/>
      <c r="BO12" s="23"/>
      <c r="BP12" s="23"/>
      <c r="BQ12" s="29"/>
      <c r="BR12" s="23"/>
      <c r="BS12" s="11"/>
      <c r="BT12" s="13"/>
      <c r="BU12" s="13"/>
      <c r="BV12" s="13"/>
      <c r="BW12" s="12"/>
      <c r="BX12" s="11"/>
      <c r="BY12" s="13"/>
      <c r="BZ12" s="13"/>
      <c r="CA12" s="13"/>
      <c r="CB12" s="13"/>
      <c r="CC12" s="14"/>
      <c r="CD12" s="56" t="str">
        <f t="shared" si="17"/>
        <v/>
      </c>
      <c r="CE12" s="53">
        <f t="shared" si="0"/>
        <v>0</v>
      </c>
      <c r="CF12" s="53">
        <f t="shared" si="1"/>
        <v>0</v>
      </c>
      <c r="CG12" s="53">
        <f t="shared" si="2"/>
        <v>1</v>
      </c>
      <c r="CH12" s="53">
        <f t="shared" si="3"/>
        <v>1</v>
      </c>
      <c r="CI12" s="53">
        <f t="shared" si="4"/>
        <v>1</v>
      </c>
      <c r="CJ12" s="53">
        <f t="shared" si="5"/>
        <v>1</v>
      </c>
      <c r="CK12" s="53">
        <f t="shared" si="6"/>
        <v>1</v>
      </c>
      <c r="CL12" s="53">
        <f t="shared" si="7"/>
        <v>1</v>
      </c>
      <c r="CM12" s="53">
        <f t="shared" si="8"/>
        <v>1</v>
      </c>
      <c r="CN12" s="53">
        <f t="shared" si="9"/>
        <v>1</v>
      </c>
      <c r="CO12" s="53">
        <f t="shared" si="18"/>
        <v>8</v>
      </c>
      <c r="CQ12" s="73" t="str">
        <f t="shared" si="10"/>
        <v/>
      </c>
      <c r="CR12" s="54" t="str">
        <f t="shared" si="11"/>
        <v/>
      </c>
      <c r="CS12" s="54" t="str">
        <f t="shared" si="12"/>
        <v/>
      </c>
      <c r="CT12" s="54" t="str">
        <f t="shared" si="13"/>
        <v/>
      </c>
      <c r="CU12" s="54" t="str">
        <f t="shared" si="14"/>
        <v/>
      </c>
      <c r="CV12" s="54" t="str">
        <f t="shared" si="15"/>
        <v/>
      </c>
      <c r="CW12" s="54" t="str">
        <f t="shared" si="16"/>
        <v/>
      </c>
    </row>
    <row r="13" spans="1:101" ht="23.4" customHeight="1" x14ac:dyDescent="0.2">
      <c r="A13" s="49">
        <v>5</v>
      </c>
      <c r="B13" s="117"/>
      <c r="C13" s="117"/>
      <c r="D13" s="117"/>
      <c r="E13" s="117"/>
      <c r="F13" s="117"/>
      <c r="G13" s="117"/>
      <c r="H13" s="117"/>
      <c r="I13" s="117"/>
      <c r="J13" s="117"/>
      <c r="K13" s="117"/>
      <c r="L13" s="117"/>
      <c r="M13" s="119"/>
      <c r="N13" s="22"/>
      <c r="O13" s="23"/>
      <c r="P13" s="23"/>
      <c r="Q13" s="24"/>
      <c r="R13" s="35"/>
      <c r="S13" s="36"/>
      <c r="T13" s="36"/>
      <c r="U13" s="36"/>
      <c r="V13" s="35"/>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7"/>
      <c r="BG13" s="36"/>
      <c r="BH13" s="36"/>
      <c r="BI13" s="36"/>
      <c r="BJ13" s="36"/>
      <c r="BK13" s="36"/>
      <c r="BL13" s="36"/>
      <c r="BM13" s="36"/>
      <c r="BN13" s="38"/>
      <c r="BO13" s="23"/>
      <c r="BP13" s="23"/>
      <c r="BQ13" s="29"/>
      <c r="BR13" s="23"/>
      <c r="BS13" s="11"/>
      <c r="BT13" s="13"/>
      <c r="BU13" s="13"/>
      <c r="BV13" s="13"/>
      <c r="BW13" s="12"/>
      <c r="BX13" s="11"/>
      <c r="BY13" s="13"/>
      <c r="BZ13" s="13"/>
      <c r="CA13" s="13"/>
      <c r="CB13" s="13"/>
      <c r="CC13" s="14"/>
      <c r="CD13" s="56" t="str">
        <f t="shared" si="17"/>
        <v/>
      </c>
      <c r="CE13" s="53">
        <f t="shared" si="0"/>
        <v>0</v>
      </c>
      <c r="CF13" s="53">
        <f t="shared" si="1"/>
        <v>0</v>
      </c>
      <c r="CG13" s="53">
        <f t="shared" si="2"/>
        <v>1</v>
      </c>
      <c r="CH13" s="53">
        <f t="shared" si="3"/>
        <v>1</v>
      </c>
      <c r="CI13" s="53">
        <f t="shared" si="4"/>
        <v>1</v>
      </c>
      <c r="CJ13" s="53">
        <f t="shared" si="5"/>
        <v>1</v>
      </c>
      <c r="CK13" s="53">
        <f t="shared" si="6"/>
        <v>1</v>
      </c>
      <c r="CL13" s="53">
        <f t="shared" si="7"/>
        <v>1</v>
      </c>
      <c r="CM13" s="53">
        <f t="shared" si="8"/>
        <v>1</v>
      </c>
      <c r="CN13" s="53">
        <f t="shared" si="9"/>
        <v>1</v>
      </c>
      <c r="CO13" s="53">
        <f t="shared" si="18"/>
        <v>8</v>
      </c>
      <c r="CQ13" s="73" t="str">
        <f t="shared" si="10"/>
        <v/>
      </c>
      <c r="CR13" s="54" t="str">
        <f t="shared" si="11"/>
        <v/>
      </c>
      <c r="CS13" s="54" t="str">
        <f t="shared" si="12"/>
        <v/>
      </c>
      <c r="CT13" s="54" t="str">
        <f t="shared" si="13"/>
        <v/>
      </c>
      <c r="CU13" s="54" t="str">
        <f t="shared" si="14"/>
        <v/>
      </c>
      <c r="CV13" s="54" t="str">
        <f t="shared" si="15"/>
        <v/>
      </c>
      <c r="CW13" s="54" t="str">
        <f t="shared" si="16"/>
        <v/>
      </c>
    </row>
    <row r="14" spans="1:101" ht="23.4" customHeight="1" x14ac:dyDescent="0.2">
      <c r="A14" s="49">
        <v>6</v>
      </c>
      <c r="B14" s="117"/>
      <c r="C14" s="117"/>
      <c r="D14" s="117"/>
      <c r="E14" s="117"/>
      <c r="F14" s="117"/>
      <c r="G14" s="117"/>
      <c r="H14" s="117"/>
      <c r="I14" s="117"/>
      <c r="J14" s="117"/>
      <c r="K14" s="117"/>
      <c r="L14" s="117"/>
      <c r="M14" s="119"/>
      <c r="N14" s="22"/>
      <c r="O14" s="23"/>
      <c r="P14" s="23"/>
      <c r="Q14" s="24"/>
      <c r="R14" s="35"/>
      <c r="S14" s="36"/>
      <c r="T14" s="36"/>
      <c r="U14" s="36"/>
      <c r="V14" s="35"/>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7"/>
      <c r="BG14" s="36"/>
      <c r="BH14" s="36"/>
      <c r="BI14" s="36"/>
      <c r="BJ14" s="36"/>
      <c r="BK14" s="36"/>
      <c r="BL14" s="36"/>
      <c r="BM14" s="36"/>
      <c r="BN14" s="38"/>
      <c r="BO14" s="23"/>
      <c r="BP14" s="23"/>
      <c r="BQ14" s="29"/>
      <c r="BR14" s="23"/>
      <c r="BS14" s="11"/>
      <c r="BT14" s="13"/>
      <c r="BU14" s="13"/>
      <c r="BV14" s="13"/>
      <c r="BW14" s="12"/>
      <c r="BX14" s="11"/>
      <c r="BY14" s="13"/>
      <c r="BZ14" s="13"/>
      <c r="CA14" s="13"/>
      <c r="CB14" s="13"/>
      <c r="CC14" s="14"/>
      <c r="CD14" s="56" t="str">
        <f t="shared" si="17"/>
        <v/>
      </c>
      <c r="CE14" s="53">
        <f t="shared" si="0"/>
        <v>0</v>
      </c>
      <c r="CF14" s="53">
        <f t="shared" si="1"/>
        <v>0</v>
      </c>
      <c r="CG14" s="53">
        <f t="shared" si="2"/>
        <v>1</v>
      </c>
      <c r="CH14" s="53">
        <f t="shared" si="3"/>
        <v>1</v>
      </c>
      <c r="CI14" s="53">
        <f t="shared" si="4"/>
        <v>1</v>
      </c>
      <c r="CJ14" s="53">
        <f t="shared" si="5"/>
        <v>1</v>
      </c>
      <c r="CK14" s="53">
        <f t="shared" si="6"/>
        <v>1</v>
      </c>
      <c r="CL14" s="53">
        <f t="shared" si="7"/>
        <v>1</v>
      </c>
      <c r="CM14" s="53">
        <f t="shared" si="8"/>
        <v>1</v>
      </c>
      <c r="CN14" s="53">
        <f t="shared" si="9"/>
        <v>1</v>
      </c>
      <c r="CO14" s="53">
        <f t="shared" si="18"/>
        <v>8</v>
      </c>
      <c r="CQ14" s="73" t="str">
        <f t="shared" si="10"/>
        <v/>
      </c>
      <c r="CR14" s="54" t="str">
        <f t="shared" si="11"/>
        <v/>
      </c>
      <c r="CS14" s="54" t="str">
        <f t="shared" si="12"/>
        <v/>
      </c>
      <c r="CT14" s="54" t="str">
        <f t="shared" si="13"/>
        <v/>
      </c>
      <c r="CU14" s="54" t="str">
        <f t="shared" si="14"/>
        <v/>
      </c>
      <c r="CV14" s="54" t="str">
        <f t="shared" si="15"/>
        <v/>
      </c>
      <c r="CW14" s="54" t="str">
        <f t="shared" si="16"/>
        <v/>
      </c>
    </row>
    <row r="15" spans="1:101" ht="23.4" customHeight="1" x14ac:dyDescent="0.2">
      <c r="A15" s="49">
        <v>7</v>
      </c>
      <c r="B15" s="117"/>
      <c r="C15" s="117"/>
      <c r="D15" s="117"/>
      <c r="E15" s="117"/>
      <c r="F15" s="117"/>
      <c r="G15" s="117"/>
      <c r="H15" s="117"/>
      <c r="I15" s="117"/>
      <c r="J15" s="117"/>
      <c r="K15" s="117"/>
      <c r="L15" s="117"/>
      <c r="M15" s="119"/>
      <c r="N15" s="22"/>
      <c r="O15" s="23"/>
      <c r="P15" s="23"/>
      <c r="Q15" s="24"/>
      <c r="R15" s="35"/>
      <c r="S15" s="36"/>
      <c r="T15" s="36"/>
      <c r="U15" s="36"/>
      <c r="V15" s="35"/>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7"/>
      <c r="BG15" s="36"/>
      <c r="BH15" s="36"/>
      <c r="BI15" s="36"/>
      <c r="BJ15" s="36"/>
      <c r="BK15" s="36"/>
      <c r="BL15" s="36"/>
      <c r="BM15" s="36"/>
      <c r="BN15" s="38"/>
      <c r="BO15" s="23"/>
      <c r="BP15" s="23"/>
      <c r="BQ15" s="29"/>
      <c r="BR15" s="23"/>
      <c r="BS15" s="11"/>
      <c r="BT15" s="13"/>
      <c r="BU15" s="13"/>
      <c r="BV15" s="13"/>
      <c r="BW15" s="12"/>
      <c r="BX15" s="11"/>
      <c r="BY15" s="13"/>
      <c r="BZ15" s="13"/>
      <c r="CA15" s="13"/>
      <c r="CB15" s="13"/>
      <c r="CC15" s="14"/>
      <c r="CD15" s="56" t="str">
        <f t="shared" si="17"/>
        <v/>
      </c>
      <c r="CE15" s="53">
        <f t="shared" si="0"/>
        <v>0</v>
      </c>
      <c r="CF15" s="53">
        <f t="shared" si="1"/>
        <v>0</v>
      </c>
      <c r="CG15" s="53">
        <f t="shared" si="2"/>
        <v>1</v>
      </c>
      <c r="CH15" s="53">
        <f t="shared" si="3"/>
        <v>1</v>
      </c>
      <c r="CI15" s="53">
        <f t="shared" si="4"/>
        <v>1</v>
      </c>
      <c r="CJ15" s="53">
        <f t="shared" si="5"/>
        <v>1</v>
      </c>
      <c r="CK15" s="53">
        <f t="shared" si="6"/>
        <v>1</v>
      </c>
      <c r="CL15" s="53">
        <f t="shared" si="7"/>
        <v>1</v>
      </c>
      <c r="CM15" s="53">
        <f t="shared" si="8"/>
        <v>1</v>
      </c>
      <c r="CN15" s="53">
        <f t="shared" si="9"/>
        <v>1</v>
      </c>
      <c r="CO15" s="53">
        <f t="shared" si="18"/>
        <v>8</v>
      </c>
      <c r="CQ15" s="73" t="str">
        <f t="shared" si="10"/>
        <v/>
      </c>
      <c r="CR15" s="54" t="str">
        <f t="shared" si="11"/>
        <v/>
      </c>
      <c r="CS15" s="54" t="str">
        <f t="shared" si="12"/>
        <v/>
      </c>
      <c r="CT15" s="54" t="str">
        <f t="shared" si="13"/>
        <v/>
      </c>
      <c r="CU15" s="54" t="str">
        <f t="shared" si="14"/>
        <v/>
      </c>
      <c r="CV15" s="54" t="str">
        <f t="shared" si="15"/>
        <v/>
      </c>
      <c r="CW15" s="54" t="str">
        <f t="shared" si="16"/>
        <v/>
      </c>
    </row>
    <row r="16" spans="1:101" ht="23.4" customHeight="1" x14ac:dyDescent="0.2">
      <c r="A16" s="49">
        <v>8</v>
      </c>
      <c r="B16" s="117"/>
      <c r="C16" s="117"/>
      <c r="D16" s="117"/>
      <c r="E16" s="117"/>
      <c r="F16" s="117"/>
      <c r="G16" s="117"/>
      <c r="H16" s="117"/>
      <c r="I16" s="117"/>
      <c r="J16" s="117"/>
      <c r="K16" s="117"/>
      <c r="L16" s="117"/>
      <c r="M16" s="119"/>
      <c r="N16" s="22"/>
      <c r="O16" s="23"/>
      <c r="P16" s="23"/>
      <c r="Q16" s="24"/>
      <c r="R16" s="35"/>
      <c r="S16" s="36"/>
      <c r="T16" s="36"/>
      <c r="U16" s="36"/>
      <c r="V16" s="35"/>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7"/>
      <c r="BG16" s="36"/>
      <c r="BH16" s="36"/>
      <c r="BI16" s="36"/>
      <c r="BJ16" s="36"/>
      <c r="BK16" s="36"/>
      <c r="BL16" s="36"/>
      <c r="BM16" s="36"/>
      <c r="BN16" s="38"/>
      <c r="BO16" s="23"/>
      <c r="BP16" s="23"/>
      <c r="BQ16" s="29"/>
      <c r="BR16" s="23"/>
      <c r="BS16" s="11"/>
      <c r="BT16" s="13"/>
      <c r="BU16" s="13"/>
      <c r="BV16" s="13"/>
      <c r="BW16" s="12"/>
      <c r="BX16" s="11"/>
      <c r="BY16" s="13"/>
      <c r="BZ16" s="13"/>
      <c r="CA16" s="13"/>
      <c r="CB16" s="13"/>
      <c r="CC16" s="14"/>
      <c r="CD16" s="56" t="str">
        <f t="shared" si="17"/>
        <v/>
      </c>
      <c r="CE16" s="53">
        <f t="shared" si="0"/>
        <v>0</v>
      </c>
      <c r="CF16" s="53">
        <f t="shared" si="1"/>
        <v>0</v>
      </c>
      <c r="CG16" s="53">
        <f t="shared" si="2"/>
        <v>1</v>
      </c>
      <c r="CH16" s="53">
        <f t="shared" si="3"/>
        <v>1</v>
      </c>
      <c r="CI16" s="53">
        <f t="shared" si="4"/>
        <v>1</v>
      </c>
      <c r="CJ16" s="53">
        <f t="shared" si="5"/>
        <v>1</v>
      </c>
      <c r="CK16" s="53">
        <f t="shared" si="6"/>
        <v>1</v>
      </c>
      <c r="CL16" s="53">
        <f t="shared" si="7"/>
        <v>1</v>
      </c>
      <c r="CM16" s="53">
        <f t="shared" si="8"/>
        <v>1</v>
      </c>
      <c r="CN16" s="53">
        <f t="shared" si="9"/>
        <v>1</v>
      </c>
      <c r="CO16" s="53">
        <f t="shared" si="18"/>
        <v>8</v>
      </c>
      <c r="CQ16" s="73" t="str">
        <f t="shared" si="10"/>
        <v/>
      </c>
      <c r="CR16" s="54" t="str">
        <f t="shared" si="11"/>
        <v/>
      </c>
      <c r="CS16" s="54" t="str">
        <f t="shared" si="12"/>
        <v/>
      </c>
      <c r="CT16" s="54" t="str">
        <f t="shared" si="13"/>
        <v/>
      </c>
      <c r="CU16" s="54" t="str">
        <f t="shared" si="14"/>
        <v/>
      </c>
      <c r="CV16" s="54" t="str">
        <f t="shared" si="15"/>
        <v/>
      </c>
      <c r="CW16" s="54" t="str">
        <f t="shared" si="16"/>
        <v/>
      </c>
    </row>
    <row r="17" spans="1:101" ht="23.4" customHeight="1" x14ac:dyDescent="0.2">
      <c r="A17" s="49">
        <v>9</v>
      </c>
      <c r="B17" s="117"/>
      <c r="C17" s="117"/>
      <c r="D17" s="117"/>
      <c r="E17" s="117"/>
      <c r="F17" s="117"/>
      <c r="G17" s="117"/>
      <c r="H17" s="117"/>
      <c r="I17" s="117"/>
      <c r="J17" s="117"/>
      <c r="K17" s="117"/>
      <c r="L17" s="117"/>
      <c r="M17" s="119"/>
      <c r="N17" s="22"/>
      <c r="O17" s="23"/>
      <c r="P17" s="23"/>
      <c r="Q17" s="24"/>
      <c r="R17" s="35"/>
      <c r="S17" s="36"/>
      <c r="T17" s="36"/>
      <c r="U17" s="36"/>
      <c r="V17" s="35"/>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7"/>
      <c r="BG17" s="36"/>
      <c r="BH17" s="36"/>
      <c r="BI17" s="36"/>
      <c r="BJ17" s="36"/>
      <c r="BK17" s="36"/>
      <c r="BL17" s="36"/>
      <c r="BM17" s="36"/>
      <c r="BN17" s="38"/>
      <c r="BO17" s="23"/>
      <c r="BP17" s="23"/>
      <c r="BQ17" s="29"/>
      <c r="BR17" s="23"/>
      <c r="BS17" s="11"/>
      <c r="BT17" s="13"/>
      <c r="BU17" s="13"/>
      <c r="BV17" s="13"/>
      <c r="BW17" s="12"/>
      <c r="BX17" s="11"/>
      <c r="BY17" s="13"/>
      <c r="BZ17" s="13"/>
      <c r="CA17" s="13"/>
      <c r="CB17" s="13"/>
      <c r="CC17" s="14"/>
      <c r="CD17" s="56" t="str">
        <f t="shared" si="17"/>
        <v/>
      </c>
      <c r="CE17" s="53">
        <f t="shared" si="0"/>
        <v>0</v>
      </c>
      <c r="CF17" s="53">
        <f t="shared" si="1"/>
        <v>0</v>
      </c>
      <c r="CG17" s="53">
        <f t="shared" si="2"/>
        <v>1</v>
      </c>
      <c r="CH17" s="53">
        <f t="shared" si="3"/>
        <v>1</v>
      </c>
      <c r="CI17" s="53">
        <f t="shared" si="4"/>
        <v>1</v>
      </c>
      <c r="CJ17" s="53">
        <f t="shared" si="5"/>
        <v>1</v>
      </c>
      <c r="CK17" s="53">
        <f t="shared" si="6"/>
        <v>1</v>
      </c>
      <c r="CL17" s="53">
        <f t="shared" si="7"/>
        <v>1</v>
      </c>
      <c r="CM17" s="53">
        <f t="shared" si="8"/>
        <v>1</v>
      </c>
      <c r="CN17" s="53">
        <f t="shared" si="9"/>
        <v>1</v>
      </c>
      <c r="CO17" s="53">
        <f t="shared" si="18"/>
        <v>8</v>
      </c>
      <c r="CQ17" s="73" t="str">
        <f t="shared" si="10"/>
        <v/>
      </c>
      <c r="CR17" s="54" t="str">
        <f t="shared" si="11"/>
        <v/>
      </c>
      <c r="CS17" s="54" t="str">
        <f t="shared" si="12"/>
        <v/>
      </c>
      <c r="CT17" s="54" t="str">
        <f t="shared" si="13"/>
        <v/>
      </c>
      <c r="CU17" s="54" t="str">
        <f t="shared" si="14"/>
        <v/>
      </c>
      <c r="CV17" s="54" t="str">
        <f t="shared" si="15"/>
        <v/>
      </c>
      <c r="CW17" s="54" t="str">
        <f t="shared" si="16"/>
        <v/>
      </c>
    </row>
    <row r="18" spans="1:101" ht="23.4" customHeight="1" x14ac:dyDescent="0.2">
      <c r="A18" s="50">
        <v>10</v>
      </c>
      <c r="B18" s="117"/>
      <c r="C18" s="117"/>
      <c r="D18" s="117"/>
      <c r="E18" s="117"/>
      <c r="F18" s="117"/>
      <c r="G18" s="117"/>
      <c r="H18" s="117"/>
      <c r="I18" s="117"/>
      <c r="J18" s="117"/>
      <c r="K18" s="117"/>
      <c r="L18" s="117"/>
      <c r="M18" s="119"/>
      <c r="N18" s="22"/>
      <c r="O18" s="23"/>
      <c r="P18" s="23"/>
      <c r="Q18" s="24"/>
      <c r="R18" s="35"/>
      <c r="S18" s="36"/>
      <c r="T18" s="36"/>
      <c r="U18" s="36"/>
      <c r="V18" s="35"/>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7"/>
      <c r="BG18" s="36"/>
      <c r="BH18" s="36"/>
      <c r="BI18" s="36"/>
      <c r="BJ18" s="36"/>
      <c r="BK18" s="36"/>
      <c r="BL18" s="36"/>
      <c r="BM18" s="36"/>
      <c r="BN18" s="38"/>
      <c r="BO18" s="23"/>
      <c r="BP18" s="23"/>
      <c r="BQ18" s="29"/>
      <c r="BR18" s="23"/>
      <c r="BS18" s="11"/>
      <c r="BT18" s="13"/>
      <c r="BU18" s="13"/>
      <c r="BV18" s="13"/>
      <c r="BW18" s="12"/>
      <c r="BX18" s="11"/>
      <c r="BY18" s="13"/>
      <c r="BZ18" s="13"/>
      <c r="CA18" s="13"/>
      <c r="CB18" s="13"/>
      <c r="CC18" s="14"/>
      <c r="CD18" s="56" t="str">
        <f t="shared" si="17"/>
        <v/>
      </c>
      <c r="CE18" s="53">
        <f t="shared" si="0"/>
        <v>0</v>
      </c>
      <c r="CF18" s="53">
        <f t="shared" si="1"/>
        <v>0</v>
      </c>
      <c r="CG18" s="53">
        <f t="shared" si="2"/>
        <v>1</v>
      </c>
      <c r="CH18" s="53">
        <f t="shared" si="3"/>
        <v>1</v>
      </c>
      <c r="CI18" s="53">
        <f t="shared" si="4"/>
        <v>1</v>
      </c>
      <c r="CJ18" s="53">
        <f t="shared" si="5"/>
        <v>1</v>
      </c>
      <c r="CK18" s="53">
        <f t="shared" si="6"/>
        <v>1</v>
      </c>
      <c r="CL18" s="53">
        <f t="shared" si="7"/>
        <v>1</v>
      </c>
      <c r="CM18" s="53">
        <f t="shared" si="8"/>
        <v>1</v>
      </c>
      <c r="CN18" s="53">
        <f t="shared" si="9"/>
        <v>1</v>
      </c>
      <c r="CO18" s="53">
        <f t="shared" si="18"/>
        <v>8</v>
      </c>
      <c r="CQ18" s="73" t="str">
        <f t="shared" si="10"/>
        <v/>
      </c>
      <c r="CR18" s="54" t="str">
        <f t="shared" si="11"/>
        <v/>
      </c>
      <c r="CS18" s="54" t="str">
        <f t="shared" si="12"/>
        <v/>
      </c>
      <c r="CT18" s="54" t="str">
        <f t="shared" si="13"/>
        <v/>
      </c>
      <c r="CU18" s="54" t="str">
        <f t="shared" si="14"/>
        <v/>
      </c>
      <c r="CV18" s="54" t="str">
        <f t="shared" si="15"/>
        <v/>
      </c>
      <c r="CW18" s="54" t="str">
        <f t="shared" si="16"/>
        <v/>
      </c>
    </row>
    <row r="19" spans="1:101" ht="23.4" customHeight="1" x14ac:dyDescent="0.2">
      <c r="A19" s="50">
        <v>11</v>
      </c>
      <c r="B19" s="117"/>
      <c r="C19" s="117"/>
      <c r="D19" s="117"/>
      <c r="E19" s="117"/>
      <c r="F19" s="117"/>
      <c r="G19" s="117"/>
      <c r="H19" s="117"/>
      <c r="I19" s="117"/>
      <c r="J19" s="117"/>
      <c r="K19" s="117"/>
      <c r="L19" s="117"/>
      <c r="M19" s="119"/>
      <c r="N19" s="22"/>
      <c r="O19" s="23"/>
      <c r="P19" s="23"/>
      <c r="Q19" s="24"/>
      <c r="R19" s="35"/>
      <c r="S19" s="36"/>
      <c r="T19" s="36"/>
      <c r="U19" s="36"/>
      <c r="V19" s="35"/>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7"/>
      <c r="BG19" s="36"/>
      <c r="BH19" s="36"/>
      <c r="BI19" s="36"/>
      <c r="BJ19" s="36"/>
      <c r="BK19" s="36"/>
      <c r="BL19" s="36"/>
      <c r="BM19" s="36"/>
      <c r="BN19" s="38"/>
      <c r="BO19" s="23"/>
      <c r="BP19" s="23"/>
      <c r="BQ19" s="29"/>
      <c r="BR19" s="23"/>
      <c r="BS19" s="11"/>
      <c r="BT19" s="13"/>
      <c r="BU19" s="13"/>
      <c r="BV19" s="13"/>
      <c r="BW19" s="12"/>
      <c r="BX19" s="11"/>
      <c r="BY19" s="13"/>
      <c r="BZ19" s="13"/>
      <c r="CA19" s="13"/>
      <c r="CB19" s="13"/>
      <c r="CC19" s="14"/>
      <c r="CD19" s="56" t="str">
        <f t="shared" si="17"/>
        <v/>
      </c>
      <c r="CE19" s="53">
        <f t="shared" si="0"/>
        <v>0</v>
      </c>
      <c r="CF19" s="53">
        <f t="shared" si="1"/>
        <v>0</v>
      </c>
      <c r="CG19" s="53">
        <f t="shared" si="2"/>
        <v>1</v>
      </c>
      <c r="CH19" s="53">
        <f t="shared" si="3"/>
        <v>1</v>
      </c>
      <c r="CI19" s="53">
        <f t="shared" si="4"/>
        <v>1</v>
      </c>
      <c r="CJ19" s="53">
        <f t="shared" si="5"/>
        <v>1</v>
      </c>
      <c r="CK19" s="53">
        <f t="shared" si="6"/>
        <v>1</v>
      </c>
      <c r="CL19" s="53">
        <f t="shared" si="7"/>
        <v>1</v>
      </c>
      <c r="CM19" s="53">
        <f t="shared" si="8"/>
        <v>1</v>
      </c>
      <c r="CN19" s="53">
        <f t="shared" si="9"/>
        <v>1</v>
      </c>
      <c r="CO19" s="53">
        <f t="shared" si="18"/>
        <v>8</v>
      </c>
      <c r="CQ19" s="73" t="str">
        <f t="shared" si="10"/>
        <v/>
      </c>
      <c r="CR19" s="54" t="str">
        <f t="shared" si="11"/>
        <v/>
      </c>
      <c r="CS19" s="54" t="str">
        <f t="shared" si="12"/>
        <v/>
      </c>
      <c r="CT19" s="54" t="str">
        <f t="shared" si="13"/>
        <v/>
      </c>
      <c r="CU19" s="54" t="str">
        <f t="shared" si="14"/>
        <v/>
      </c>
      <c r="CV19" s="54" t="str">
        <f t="shared" si="15"/>
        <v/>
      </c>
      <c r="CW19" s="54" t="str">
        <f t="shared" si="16"/>
        <v/>
      </c>
    </row>
    <row r="20" spans="1:101" ht="23.4" customHeight="1" x14ac:dyDescent="0.2">
      <c r="A20" s="49">
        <v>12</v>
      </c>
      <c r="B20" s="117"/>
      <c r="C20" s="117"/>
      <c r="D20" s="117"/>
      <c r="E20" s="117"/>
      <c r="F20" s="117"/>
      <c r="G20" s="117"/>
      <c r="H20" s="117"/>
      <c r="I20" s="117"/>
      <c r="J20" s="117"/>
      <c r="K20" s="117"/>
      <c r="L20" s="117"/>
      <c r="M20" s="119"/>
      <c r="N20" s="22"/>
      <c r="O20" s="23"/>
      <c r="P20" s="23"/>
      <c r="Q20" s="24"/>
      <c r="R20" s="35"/>
      <c r="S20" s="36"/>
      <c r="T20" s="36"/>
      <c r="U20" s="36"/>
      <c r="V20" s="35"/>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7"/>
      <c r="BG20" s="36"/>
      <c r="BH20" s="36"/>
      <c r="BI20" s="36"/>
      <c r="BJ20" s="36"/>
      <c r="BK20" s="36"/>
      <c r="BL20" s="36"/>
      <c r="BM20" s="36"/>
      <c r="BN20" s="38"/>
      <c r="BO20" s="23"/>
      <c r="BP20" s="23"/>
      <c r="BQ20" s="29"/>
      <c r="BR20" s="23"/>
      <c r="BS20" s="11"/>
      <c r="BT20" s="13"/>
      <c r="BU20" s="13"/>
      <c r="BV20" s="13"/>
      <c r="BW20" s="12"/>
      <c r="BX20" s="11"/>
      <c r="BY20" s="13"/>
      <c r="BZ20" s="13"/>
      <c r="CA20" s="13"/>
      <c r="CB20" s="13"/>
      <c r="CC20" s="14"/>
      <c r="CD20" s="56" t="str">
        <f t="shared" si="17"/>
        <v/>
      </c>
      <c r="CE20" s="53">
        <f t="shared" si="0"/>
        <v>0</v>
      </c>
      <c r="CF20" s="53">
        <f t="shared" si="1"/>
        <v>0</v>
      </c>
      <c r="CG20" s="53">
        <f t="shared" si="2"/>
        <v>1</v>
      </c>
      <c r="CH20" s="53">
        <f t="shared" si="3"/>
        <v>1</v>
      </c>
      <c r="CI20" s="53">
        <f t="shared" si="4"/>
        <v>1</v>
      </c>
      <c r="CJ20" s="53">
        <f t="shared" si="5"/>
        <v>1</v>
      </c>
      <c r="CK20" s="53">
        <f t="shared" si="6"/>
        <v>1</v>
      </c>
      <c r="CL20" s="53">
        <f t="shared" si="7"/>
        <v>1</v>
      </c>
      <c r="CM20" s="53">
        <f t="shared" si="8"/>
        <v>1</v>
      </c>
      <c r="CN20" s="53">
        <f t="shared" si="9"/>
        <v>1</v>
      </c>
      <c r="CO20" s="53">
        <f t="shared" si="18"/>
        <v>8</v>
      </c>
      <c r="CQ20" s="73" t="str">
        <f t="shared" si="10"/>
        <v/>
      </c>
      <c r="CR20" s="54" t="str">
        <f t="shared" si="11"/>
        <v/>
      </c>
      <c r="CS20" s="54" t="str">
        <f t="shared" si="12"/>
        <v/>
      </c>
      <c r="CT20" s="54" t="str">
        <f t="shared" si="13"/>
        <v/>
      </c>
      <c r="CU20" s="54" t="str">
        <f t="shared" si="14"/>
        <v/>
      </c>
      <c r="CV20" s="54" t="str">
        <f t="shared" si="15"/>
        <v/>
      </c>
      <c r="CW20" s="54" t="str">
        <f t="shared" si="16"/>
        <v/>
      </c>
    </row>
    <row r="21" spans="1:101" ht="23.4" customHeight="1" x14ac:dyDescent="0.2">
      <c r="A21" s="49">
        <v>13</v>
      </c>
      <c r="B21" s="117"/>
      <c r="C21" s="117"/>
      <c r="D21" s="117"/>
      <c r="E21" s="117"/>
      <c r="F21" s="117"/>
      <c r="G21" s="117"/>
      <c r="H21" s="117"/>
      <c r="I21" s="117"/>
      <c r="J21" s="117"/>
      <c r="K21" s="117"/>
      <c r="L21" s="117"/>
      <c r="M21" s="119"/>
      <c r="N21" s="22"/>
      <c r="O21" s="23"/>
      <c r="P21" s="23"/>
      <c r="Q21" s="24"/>
      <c r="R21" s="35"/>
      <c r="S21" s="36"/>
      <c r="T21" s="36"/>
      <c r="U21" s="36"/>
      <c r="V21" s="35"/>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7"/>
      <c r="BG21" s="36"/>
      <c r="BH21" s="36"/>
      <c r="BI21" s="36"/>
      <c r="BJ21" s="36"/>
      <c r="BK21" s="36"/>
      <c r="BL21" s="36"/>
      <c r="BM21" s="36"/>
      <c r="BN21" s="38"/>
      <c r="BO21" s="23"/>
      <c r="BP21" s="23"/>
      <c r="BQ21" s="29"/>
      <c r="BR21" s="23"/>
      <c r="BS21" s="11"/>
      <c r="BT21" s="13"/>
      <c r="BU21" s="13"/>
      <c r="BV21" s="13"/>
      <c r="BW21" s="12"/>
      <c r="BX21" s="11"/>
      <c r="BY21" s="13"/>
      <c r="BZ21" s="13"/>
      <c r="CA21" s="13"/>
      <c r="CB21" s="13"/>
      <c r="CC21" s="14"/>
      <c r="CD21" s="56" t="str">
        <f t="shared" si="17"/>
        <v/>
      </c>
      <c r="CE21" s="53">
        <f t="shared" si="0"/>
        <v>0</v>
      </c>
      <c r="CF21" s="53">
        <f t="shared" si="1"/>
        <v>0</v>
      </c>
      <c r="CG21" s="53">
        <f t="shared" si="2"/>
        <v>1</v>
      </c>
      <c r="CH21" s="53">
        <f t="shared" si="3"/>
        <v>1</v>
      </c>
      <c r="CI21" s="53">
        <f t="shared" si="4"/>
        <v>1</v>
      </c>
      <c r="CJ21" s="53">
        <f t="shared" si="5"/>
        <v>1</v>
      </c>
      <c r="CK21" s="53">
        <f t="shared" si="6"/>
        <v>1</v>
      </c>
      <c r="CL21" s="53">
        <f t="shared" si="7"/>
        <v>1</v>
      </c>
      <c r="CM21" s="53">
        <f t="shared" si="8"/>
        <v>1</v>
      </c>
      <c r="CN21" s="53">
        <f t="shared" si="9"/>
        <v>1</v>
      </c>
      <c r="CO21" s="53">
        <f t="shared" si="18"/>
        <v>8</v>
      </c>
      <c r="CQ21" s="73" t="str">
        <f t="shared" si="10"/>
        <v/>
      </c>
      <c r="CR21" s="54" t="str">
        <f t="shared" si="11"/>
        <v/>
      </c>
      <c r="CS21" s="54" t="str">
        <f t="shared" si="12"/>
        <v/>
      </c>
      <c r="CT21" s="54" t="str">
        <f t="shared" si="13"/>
        <v/>
      </c>
      <c r="CU21" s="54" t="str">
        <f t="shared" si="14"/>
        <v/>
      </c>
      <c r="CV21" s="54" t="str">
        <f t="shared" si="15"/>
        <v/>
      </c>
      <c r="CW21" s="54" t="str">
        <f t="shared" si="16"/>
        <v/>
      </c>
    </row>
    <row r="22" spans="1:101" ht="23.4" customHeight="1" x14ac:dyDescent="0.2">
      <c r="A22" s="49">
        <v>14</v>
      </c>
      <c r="B22" s="117"/>
      <c r="C22" s="117"/>
      <c r="D22" s="117"/>
      <c r="E22" s="117"/>
      <c r="F22" s="117"/>
      <c r="G22" s="117"/>
      <c r="H22" s="117"/>
      <c r="I22" s="117"/>
      <c r="J22" s="117"/>
      <c r="K22" s="117"/>
      <c r="L22" s="117"/>
      <c r="M22" s="119"/>
      <c r="N22" s="22"/>
      <c r="O22" s="23"/>
      <c r="P22" s="23"/>
      <c r="Q22" s="24"/>
      <c r="R22" s="35"/>
      <c r="S22" s="36"/>
      <c r="T22" s="36"/>
      <c r="U22" s="36"/>
      <c r="V22" s="35"/>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7"/>
      <c r="BG22" s="36"/>
      <c r="BH22" s="36"/>
      <c r="BI22" s="36"/>
      <c r="BJ22" s="36"/>
      <c r="BK22" s="36"/>
      <c r="BL22" s="36"/>
      <c r="BM22" s="36"/>
      <c r="BN22" s="38"/>
      <c r="BO22" s="23"/>
      <c r="BP22" s="23"/>
      <c r="BQ22" s="29"/>
      <c r="BR22" s="23"/>
      <c r="BS22" s="11"/>
      <c r="BT22" s="13"/>
      <c r="BU22" s="13"/>
      <c r="BV22" s="13"/>
      <c r="BW22" s="12"/>
      <c r="BX22" s="11"/>
      <c r="BY22" s="13"/>
      <c r="BZ22" s="13"/>
      <c r="CA22" s="13"/>
      <c r="CB22" s="13"/>
      <c r="CC22" s="14"/>
      <c r="CD22" s="56" t="str">
        <f t="shared" si="17"/>
        <v/>
      </c>
      <c r="CE22" s="53">
        <f t="shared" si="0"/>
        <v>0</v>
      </c>
      <c r="CF22" s="53">
        <f t="shared" si="1"/>
        <v>0</v>
      </c>
      <c r="CG22" s="53">
        <f t="shared" si="2"/>
        <v>1</v>
      </c>
      <c r="CH22" s="53">
        <f t="shared" si="3"/>
        <v>1</v>
      </c>
      <c r="CI22" s="53">
        <f t="shared" si="4"/>
        <v>1</v>
      </c>
      <c r="CJ22" s="53">
        <f t="shared" si="5"/>
        <v>1</v>
      </c>
      <c r="CK22" s="53">
        <f t="shared" si="6"/>
        <v>1</v>
      </c>
      <c r="CL22" s="53">
        <f t="shared" si="7"/>
        <v>1</v>
      </c>
      <c r="CM22" s="53">
        <f t="shared" si="8"/>
        <v>1</v>
      </c>
      <c r="CN22" s="53">
        <f t="shared" si="9"/>
        <v>1</v>
      </c>
      <c r="CO22" s="53">
        <f t="shared" si="18"/>
        <v>8</v>
      </c>
      <c r="CQ22" s="73" t="str">
        <f t="shared" si="10"/>
        <v/>
      </c>
      <c r="CR22" s="54" t="str">
        <f t="shared" si="11"/>
        <v/>
      </c>
      <c r="CS22" s="54" t="str">
        <f t="shared" si="12"/>
        <v/>
      </c>
      <c r="CT22" s="54" t="str">
        <f t="shared" si="13"/>
        <v/>
      </c>
      <c r="CU22" s="54" t="str">
        <f t="shared" si="14"/>
        <v/>
      </c>
      <c r="CV22" s="54" t="str">
        <f t="shared" si="15"/>
        <v/>
      </c>
      <c r="CW22" s="54" t="str">
        <f t="shared" si="16"/>
        <v/>
      </c>
    </row>
    <row r="23" spans="1:101" ht="23.4" customHeight="1" x14ac:dyDescent="0.2">
      <c r="A23" s="49">
        <v>15</v>
      </c>
      <c r="B23" s="117"/>
      <c r="C23" s="117"/>
      <c r="D23" s="117"/>
      <c r="E23" s="117"/>
      <c r="F23" s="117"/>
      <c r="G23" s="117"/>
      <c r="H23" s="117"/>
      <c r="I23" s="117"/>
      <c r="J23" s="117"/>
      <c r="K23" s="117"/>
      <c r="L23" s="117"/>
      <c r="M23" s="119"/>
      <c r="N23" s="22"/>
      <c r="O23" s="23"/>
      <c r="P23" s="23"/>
      <c r="Q23" s="24"/>
      <c r="R23" s="35"/>
      <c r="S23" s="36"/>
      <c r="T23" s="36"/>
      <c r="U23" s="36"/>
      <c r="V23" s="35"/>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7"/>
      <c r="BG23" s="36"/>
      <c r="BH23" s="36"/>
      <c r="BI23" s="36"/>
      <c r="BJ23" s="36"/>
      <c r="BK23" s="36"/>
      <c r="BL23" s="36"/>
      <c r="BM23" s="36"/>
      <c r="BN23" s="38"/>
      <c r="BO23" s="23"/>
      <c r="BP23" s="23"/>
      <c r="BQ23" s="29"/>
      <c r="BR23" s="23"/>
      <c r="BS23" s="11"/>
      <c r="BT23" s="13"/>
      <c r="BU23" s="13"/>
      <c r="BV23" s="13"/>
      <c r="BW23" s="12"/>
      <c r="BX23" s="11"/>
      <c r="BY23" s="13"/>
      <c r="BZ23" s="13"/>
      <c r="CA23" s="13"/>
      <c r="CB23" s="13"/>
      <c r="CC23" s="14"/>
      <c r="CD23" s="56" t="str">
        <f t="shared" si="17"/>
        <v/>
      </c>
      <c r="CE23" s="53">
        <f t="shared" si="0"/>
        <v>0</v>
      </c>
      <c r="CF23" s="53">
        <f t="shared" si="1"/>
        <v>0</v>
      </c>
      <c r="CG23" s="53">
        <f t="shared" si="2"/>
        <v>1</v>
      </c>
      <c r="CH23" s="53">
        <f t="shared" si="3"/>
        <v>1</v>
      </c>
      <c r="CI23" s="53">
        <f t="shared" si="4"/>
        <v>1</v>
      </c>
      <c r="CJ23" s="53">
        <f t="shared" si="5"/>
        <v>1</v>
      </c>
      <c r="CK23" s="53">
        <f t="shared" si="6"/>
        <v>1</v>
      </c>
      <c r="CL23" s="53">
        <f t="shared" si="7"/>
        <v>1</v>
      </c>
      <c r="CM23" s="53">
        <f t="shared" si="8"/>
        <v>1</v>
      </c>
      <c r="CN23" s="53">
        <f t="shared" si="9"/>
        <v>1</v>
      </c>
      <c r="CO23" s="53">
        <f t="shared" si="18"/>
        <v>8</v>
      </c>
      <c r="CQ23" s="73" t="str">
        <f t="shared" si="10"/>
        <v/>
      </c>
      <c r="CR23" s="54" t="str">
        <f t="shared" si="11"/>
        <v/>
      </c>
      <c r="CS23" s="54" t="str">
        <f t="shared" si="12"/>
        <v/>
      </c>
      <c r="CT23" s="54" t="str">
        <f t="shared" si="13"/>
        <v/>
      </c>
      <c r="CU23" s="54" t="str">
        <f t="shared" si="14"/>
        <v/>
      </c>
      <c r="CV23" s="54" t="str">
        <f t="shared" si="15"/>
        <v/>
      </c>
      <c r="CW23" s="54" t="str">
        <f t="shared" si="16"/>
        <v/>
      </c>
    </row>
    <row r="24" spans="1:101" ht="23.4" customHeight="1" x14ac:dyDescent="0.2">
      <c r="A24" s="49">
        <v>16</v>
      </c>
      <c r="B24" s="117"/>
      <c r="C24" s="117"/>
      <c r="D24" s="117"/>
      <c r="E24" s="117"/>
      <c r="F24" s="117"/>
      <c r="G24" s="117"/>
      <c r="H24" s="117"/>
      <c r="I24" s="117"/>
      <c r="J24" s="117"/>
      <c r="K24" s="117"/>
      <c r="L24" s="117"/>
      <c r="M24" s="119"/>
      <c r="N24" s="22"/>
      <c r="O24" s="23"/>
      <c r="P24" s="23"/>
      <c r="Q24" s="24"/>
      <c r="R24" s="35"/>
      <c r="S24" s="36"/>
      <c r="T24" s="36"/>
      <c r="U24" s="36"/>
      <c r="V24" s="35"/>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7"/>
      <c r="BG24" s="36"/>
      <c r="BH24" s="36"/>
      <c r="BI24" s="36"/>
      <c r="BJ24" s="36"/>
      <c r="BK24" s="36"/>
      <c r="BL24" s="36"/>
      <c r="BM24" s="36"/>
      <c r="BN24" s="38"/>
      <c r="BO24" s="23"/>
      <c r="BP24" s="23"/>
      <c r="BQ24" s="29"/>
      <c r="BR24" s="23"/>
      <c r="BS24" s="11"/>
      <c r="BT24" s="13"/>
      <c r="BU24" s="13"/>
      <c r="BV24" s="13"/>
      <c r="BW24" s="12"/>
      <c r="BX24" s="11"/>
      <c r="BY24" s="13"/>
      <c r="BZ24" s="13"/>
      <c r="CA24" s="13"/>
      <c r="CB24" s="13"/>
      <c r="CC24" s="14"/>
      <c r="CD24" s="56" t="str">
        <f t="shared" si="17"/>
        <v/>
      </c>
      <c r="CE24" s="53">
        <f t="shared" si="0"/>
        <v>0</v>
      </c>
      <c r="CF24" s="53">
        <f t="shared" si="1"/>
        <v>0</v>
      </c>
      <c r="CG24" s="53">
        <f t="shared" si="2"/>
        <v>1</v>
      </c>
      <c r="CH24" s="53">
        <f t="shared" si="3"/>
        <v>1</v>
      </c>
      <c r="CI24" s="53">
        <f t="shared" si="4"/>
        <v>1</v>
      </c>
      <c r="CJ24" s="53">
        <f t="shared" si="5"/>
        <v>1</v>
      </c>
      <c r="CK24" s="53">
        <f t="shared" si="6"/>
        <v>1</v>
      </c>
      <c r="CL24" s="53">
        <f t="shared" si="7"/>
        <v>1</v>
      </c>
      <c r="CM24" s="53">
        <f t="shared" si="8"/>
        <v>1</v>
      </c>
      <c r="CN24" s="53">
        <f t="shared" si="9"/>
        <v>1</v>
      </c>
      <c r="CO24" s="53">
        <f t="shared" si="18"/>
        <v>8</v>
      </c>
      <c r="CQ24" s="73" t="str">
        <f t="shared" si="10"/>
        <v/>
      </c>
      <c r="CR24" s="54" t="str">
        <f t="shared" si="11"/>
        <v/>
      </c>
      <c r="CS24" s="54" t="str">
        <f t="shared" si="12"/>
        <v/>
      </c>
      <c r="CT24" s="54" t="str">
        <f t="shared" si="13"/>
        <v/>
      </c>
      <c r="CU24" s="54" t="str">
        <f t="shared" si="14"/>
        <v/>
      </c>
      <c r="CV24" s="54" t="str">
        <f t="shared" si="15"/>
        <v/>
      </c>
      <c r="CW24" s="54" t="str">
        <f t="shared" si="16"/>
        <v/>
      </c>
    </row>
    <row r="25" spans="1:101" ht="23.4" customHeight="1" x14ac:dyDescent="0.2">
      <c r="A25" s="49">
        <v>17</v>
      </c>
      <c r="B25" s="117"/>
      <c r="C25" s="117"/>
      <c r="D25" s="117"/>
      <c r="E25" s="117"/>
      <c r="F25" s="117"/>
      <c r="G25" s="117"/>
      <c r="H25" s="117"/>
      <c r="I25" s="117"/>
      <c r="J25" s="117"/>
      <c r="K25" s="117"/>
      <c r="L25" s="117"/>
      <c r="M25" s="119"/>
      <c r="N25" s="22"/>
      <c r="O25" s="23"/>
      <c r="P25" s="23"/>
      <c r="Q25" s="24"/>
      <c r="R25" s="35"/>
      <c r="S25" s="36"/>
      <c r="T25" s="36"/>
      <c r="U25" s="36"/>
      <c r="V25" s="35"/>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7"/>
      <c r="BG25" s="36"/>
      <c r="BH25" s="36"/>
      <c r="BI25" s="36"/>
      <c r="BJ25" s="36"/>
      <c r="BK25" s="36"/>
      <c r="BL25" s="36"/>
      <c r="BM25" s="36"/>
      <c r="BN25" s="38"/>
      <c r="BO25" s="23"/>
      <c r="BP25" s="23"/>
      <c r="BQ25" s="29"/>
      <c r="BR25" s="23"/>
      <c r="BS25" s="11"/>
      <c r="BT25" s="13"/>
      <c r="BU25" s="13"/>
      <c r="BV25" s="13"/>
      <c r="BW25" s="12"/>
      <c r="BX25" s="11"/>
      <c r="BY25" s="13"/>
      <c r="BZ25" s="13"/>
      <c r="CA25" s="13"/>
      <c r="CB25" s="13"/>
      <c r="CC25" s="14"/>
      <c r="CD25" s="56" t="str">
        <f t="shared" si="17"/>
        <v/>
      </c>
      <c r="CE25" s="53">
        <f t="shared" si="0"/>
        <v>0</v>
      </c>
      <c r="CF25" s="53">
        <f t="shared" si="1"/>
        <v>0</v>
      </c>
      <c r="CG25" s="53">
        <f t="shared" si="2"/>
        <v>1</v>
      </c>
      <c r="CH25" s="53">
        <f t="shared" si="3"/>
        <v>1</v>
      </c>
      <c r="CI25" s="53">
        <f t="shared" si="4"/>
        <v>1</v>
      </c>
      <c r="CJ25" s="53">
        <f t="shared" si="5"/>
        <v>1</v>
      </c>
      <c r="CK25" s="53">
        <f t="shared" si="6"/>
        <v>1</v>
      </c>
      <c r="CL25" s="53">
        <f t="shared" si="7"/>
        <v>1</v>
      </c>
      <c r="CM25" s="53">
        <f t="shared" si="8"/>
        <v>1</v>
      </c>
      <c r="CN25" s="53">
        <f t="shared" si="9"/>
        <v>1</v>
      </c>
      <c r="CO25" s="53">
        <f t="shared" si="18"/>
        <v>8</v>
      </c>
      <c r="CQ25" s="73" t="str">
        <f t="shared" si="10"/>
        <v/>
      </c>
      <c r="CR25" s="54" t="str">
        <f t="shared" si="11"/>
        <v/>
      </c>
      <c r="CS25" s="54" t="str">
        <f t="shared" si="12"/>
        <v/>
      </c>
      <c r="CT25" s="54" t="str">
        <f t="shared" si="13"/>
        <v/>
      </c>
      <c r="CU25" s="54" t="str">
        <f t="shared" si="14"/>
        <v/>
      </c>
      <c r="CV25" s="54" t="str">
        <f t="shared" si="15"/>
        <v/>
      </c>
      <c r="CW25" s="54" t="str">
        <f t="shared" si="16"/>
        <v/>
      </c>
    </row>
    <row r="26" spans="1:101" ht="23.4" customHeight="1" x14ac:dyDescent="0.2">
      <c r="A26" s="49">
        <v>18</v>
      </c>
      <c r="B26" s="117"/>
      <c r="C26" s="117"/>
      <c r="D26" s="117"/>
      <c r="E26" s="117"/>
      <c r="F26" s="117"/>
      <c r="G26" s="117"/>
      <c r="H26" s="117"/>
      <c r="I26" s="117"/>
      <c r="J26" s="117"/>
      <c r="K26" s="117"/>
      <c r="L26" s="117"/>
      <c r="M26" s="119"/>
      <c r="N26" s="22"/>
      <c r="O26" s="23"/>
      <c r="P26" s="23"/>
      <c r="Q26" s="24"/>
      <c r="R26" s="35"/>
      <c r="S26" s="36"/>
      <c r="T26" s="36"/>
      <c r="U26" s="36"/>
      <c r="V26" s="35"/>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7"/>
      <c r="BG26" s="36"/>
      <c r="BH26" s="36"/>
      <c r="BI26" s="36"/>
      <c r="BJ26" s="36"/>
      <c r="BK26" s="36"/>
      <c r="BL26" s="36"/>
      <c r="BM26" s="36"/>
      <c r="BN26" s="38"/>
      <c r="BO26" s="23"/>
      <c r="BP26" s="23"/>
      <c r="BQ26" s="29"/>
      <c r="BR26" s="23"/>
      <c r="BS26" s="11"/>
      <c r="BT26" s="13"/>
      <c r="BU26" s="13"/>
      <c r="BV26" s="13"/>
      <c r="BW26" s="12"/>
      <c r="BX26" s="11"/>
      <c r="BY26" s="13"/>
      <c r="BZ26" s="13"/>
      <c r="CA26" s="13"/>
      <c r="CB26" s="13"/>
      <c r="CC26" s="14"/>
      <c r="CD26" s="56" t="str">
        <f t="shared" si="17"/>
        <v/>
      </c>
      <c r="CE26" s="53">
        <f t="shared" si="0"/>
        <v>0</v>
      </c>
      <c r="CF26" s="53">
        <f t="shared" si="1"/>
        <v>0</v>
      </c>
      <c r="CG26" s="53">
        <f t="shared" si="2"/>
        <v>1</v>
      </c>
      <c r="CH26" s="53">
        <f t="shared" si="3"/>
        <v>1</v>
      </c>
      <c r="CI26" s="53">
        <f t="shared" si="4"/>
        <v>1</v>
      </c>
      <c r="CJ26" s="53">
        <f t="shared" si="5"/>
        <v>1</v>
      </c>
      <c r="CK26" s="53">
        <f t="shared" si="6"/>
        <v>1</v>
      </c>
      <c r="CL26" s="53">
        <f t="shared" si="7"/>
        <v>1</v>
      </c>
      <c r="CM26" s="53">
        <f t="shared" si="8"/>
        <v>1</v>
      </c>
      <c r="CN26" s="53">
        <f t="shared" si="9"/>
        <v>1</v>
      </c>
      <c r="CO26" s="53">
        <f t="shared" si="18"/>
        <v>8</v>
      </c>
      <c r="CQ26" s="73" t="str">
        <f t="shared" si="10"/>
        <v/>
      </c>
      <c r="CR26" s="54" t="str">
        <f t="shared" si="11"/>
        <v/>
      </c>
      <c r="CS26" s="54" t="str">
        <f t="shared" si="12"/>
        <v/>
      </c>
      <c r="CT26" s="54" t="str">
        <f t="shared" si="13"/>
        <v/>
      </c>
      <c r="CU26" s="54" t="str">
        <f t="shared" si="14"/>
        <v/>
      </c>
      <c r="CV26" s="54" t="str">
        <f t="shared" si="15"/>
        <v/>
      </c>
      <c r="CW26" s="54" t="str">
        <f t="shared" si="16"/>
        <v/>
      </c>
    </row>
    <row r="27" spans="1:101" ht="23.4" customHeight="1" x14ac:dyDescent="0.2">
      <c r="A27" s="49">
        <v>19</v>
      </c>
      <c r="B27" s="117"/>
      <c r="C27" s="117"/>
      <c r="D27" s="117"/>
      <c r="E27" s="117"/>
      <c r="F27" s="117"/>
      <c r="G27" s="117"/>
      <c r="H27" s="117"/>
      <c r="I27" s="117"/>
      <c r="J27" s="117"/>
      <c r="K27" s="117"/>
      <c r="L27" s="117"/>
      <c r="M27" s="119"/>
      <c r="N27" s="22"/>
      <c r="O27" s="23"/>
      <c r="P27" s="23"/>
      <c r="Q27" s="24"/>
      <c r="R27" s="35"/>
      <c r="S27" s="36"/>
      <c r="T27" s="36"/>
      <c r="U27" s="36"/>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7"/>
      <c r="BG27" s="36"/>
      <c r="BH27" s="36"/>
      <c r="BI27" s="36"/>
      <c r="BJ27" s="36"/>
      <c r="BK27" s="36"/>
      <c r="BL27" s="36"/>
      <c r="BM27" s="36"/>
      <c r="BN27" s="38"/>
      <c r="BO27" s="23"/>
      <c r="BP27" s="23"/>
      <c r="BQ27" s="29"/>
      <c r="BR27" s="23"/>
      <c r="BS27" s="11"/>
      <c r="BT27" s="13"/>
      <c r="BU27" s="13"/>
      <c r="BV27" s="13"/>
      <c r="BW27" s="12"/>
      <c r="BX27" s="11"/>
      <c r="BY27" s="13"/>
      <c r="BZ27" s="13"/>
      <c r="CA27" s="13"/>
      <c r="CB27" s="13"/>
      <c r="CC27" s="14"/>
      <c r="CD27" s="56" t="str">
        <f t="shared" si="17"/>
        <v/>
      </c>
      <c r="CE27" s="53">
        <f t="shared" si="0"/>
        <v>0</v>
      </c>
      <c r="CF27" s="53">
        <f t="shared" si="1"/>
        <v>0</v>
      </c>
      <c r="CG27" s="53">
        <f t="shared" si="2"/>
        <v>1</v>
      </c>
      <c r="CH27" s="53">
        <f t="shared" si="3"/>
        <v>1</v>
      </c>
      <c r="CI27" s="53">
        <f t="shared" si="4"/>
        <v>1</v>
      </c>
      <c r="CJ27" s="53">
        <f t="shared" si="5"/>
        <v>1</v>
      </c>
      <c r="CK27" s="53">
        <f t="shared" si="6"/>
        <v>1</v>
      </c>
      <c r="CL27" s="53">
        <f t="shared" si="7"/>
        <v>1</v>
      </c>
      <c r="CM27" s="53">
        <f t="shared" si="8"/>
        <v>1</v>
      </c>
      <c r="CN27" s="53">
        <f t="shared" si="9"/>
        <v>1</v>
      </c>
      <c r="CO27" s="53">
        <f t="shared" si="18"/>
        <v>8</v>
      </c>
      <c r="CQ27" s="73" t="str">
        <f t="shared" si="10"/>
        <v/>
      </c>
      <c r="CR27" s="54" t="str">
        <f t="shared" si="11"/>
        <v/>
      </c>
      <c r="CS27" s="54" t="str">
        <f t="shared" si="12"/>
        <v/>
      </c>
      <c r="CT27" s="54" t="str">
        <f t="shared" si="13"/>
        <v/>
      </c>
      <c r="CU27" s="54" t="str">
        <f t="shared" si="14"/>
        <v/>
      </c>
      <c r="CV27" s="54" t="str">
        <f t="shared" si="15"/>
        <v/>
      </c>
      <c r="CW27" s="54" t="str">
        <f t="shared" si="16"/>
        <v/>
      </c>
    </row>
    <row r="28" spans="1:101" ht="23.4" customHeight="1" x14ac:dyDescent="0.2">
      <c r="A28" s="50">
        <v>20</v>
      </c>
      <c r="B28" s="117"/>
      <c r="C28" s="117"/>
      <c r="D28" s="117"/>
      <c r="E28" s="117"/>
      <c r="F28" s="117"/>
      <c r="G28" s="117"/>
      <c r="H28" s="117"/>
      <c r="I28" s="117"/>
      <c r="J28" s="117"/>
      <c r="K28" s="117"/>
      <c r="L28" s="117"/>
      <c r="M28" s="119"/>
      <c r="N28" s="22"/>
      <c r="O28" s="23"/>
      <c r="P28" s="23"/>
      <c r="Q28" s="24"/>
      <c r="R28" s="35"/>
      <c r="S28" s="36"/>
      <c r="T28" s="36"/>
      <c r="U28" s="36"/>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7"/>
      <c r="BG28" s="36"/>
      <c r="BH28" s="36"/>
      <c r="BI28" s="36"/>
      <c r="BJ28" s="36"/>
      <c r="BK28" s="36"/>
      <c r="BL28" s="36"/>
      <c r="BM28" s="36"/>
      <c r="BN28" s="38"/>
      <c r="BO28" s="23"/>
      <c r="BP28" s="23"/>
      <c r="BQ28" s="29"/>
      <c r="BR28" s="23"/>
      <c r="BS28" s="11"/>
      <c r="BT28" s="13"/>
      <c r="BU28" s="13"/>
      <c r="BV28" s="13"/>
      <c r="BW28" s="12"/>
      <c r="BX28" s="11"/>
      <c r="BY28" s="13"/>
      <c r="BZ28" s="13"/>
      <c r="CA28" s="13"/>
      <c r="CB28" s="13"/>
      <c r="CC28" s="14"/>
      <c r="CD28" s="56" t="str">
        <f t="shared" si="17"/>
        <v/>
      </c>
      <c r="CE28" s="53">
        <f t="shared" si="0"/>
        <v>0</v>
      </c>
      <c r="CF28" s="53">
        <f t="shared" si="1"/>
        <v>0</v>
      </c>
      <c r="CG28" s="53">
        <f t="shared" si="2"/>
        <v>1</v>
      </c>
      <c r="CH28" s="53">
        <f t="shared" si="3"/>
        <v>1</v>
      </c>
      <c r="CI28" s="53">
        <f t="shared" si="4"/>
        <v>1</v>
      </c>
      <c r="CJ28" s="53">
        <f t="shared" si="5"/>
        <v>1</v>
      </c>
      <c r="CK28" s="53">
        <f t="shared" si="6"/>
        <v>1</v>
      </c>
      <c r="CL28" s="53">
        <f t="shared" si="7"/>
        <v>1</v>
      </c>
      <c r="CM28" s="53">
        <f t="shared" si="8"/>
        <v>1</v>
      </c>
      <c r="CN28" s="53">
        <f t="shared" si="9"/>
        <v>1</v>
      </c>
      <c r="CO28" s="53">
        <f t="shared" si="18"/>
        <v>8</v>
      </c>
      <c r="CQ28" s="73" t="str">
        <f t="shared" si="10"/>
        <v/>
      </c>
      <c r="CR28" s="54" t="str">
        <f t="shared" si="11"/>
        <v/>
      </c>
      <c r="CS28" s="54" t="str">
        <f t="shared" si="12"/>
        <v/>
      </c>
      <c r="CT28" s="54" t="str">
        <f t="shared" si="13"/>
        <v/>
      </c>
      <c r="CU28" s="54" t="str">
        <f t="shared" si="14"/>
        <v/>
      </c>
      <c r="CV28" s="54" t="str">
        <f t="shared" si="15"/>
        <v/>
      </c>
      <c r="CW28" s="54" t="str">
        <f t="shared" si="16"/>
        <v/>
      </c>
    </row>
    <row r="29" spans="1:101" ht="23.4" customHeight="1" x14ac:dyDescent="0.2">
      <c r="A29" s="50">
        <v>21</v>
      </c>
      <c r="B29" s="117"/>
      <c r="C29" s="117"/>
      <c r="D29" s="117"/>
      <c r="E29" s="117"/>
      <c r="F29" s="117"/>
      <c r="G29" s="117"/>
      <c r="H29" s="117"/>
      <c r="I29" s="117"/>
      <c r="J29" s="117"/>
      <c r="K29" s="117"/>
      <c r="L29" s="117"/>
      <c r="M29" s="119"/>
      <c r="N29" s="22"/>
      <c r="O29" s="23"/>
      <c r="P29" s="23"/>
      <c r="Q29" s="24"/>
      <c r="R29" s="35"/>
      <c r="S29" s="36"/>
      <c r="T29" s="36"/>
      <c r="U29" s="36"/>
      <c r="V29" s="35"/>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7"/>
      <c r="BG29" s="36"/>
      <c r="BH29" s="36"/>
      <c r="BI29" s="36"/>
      <c r="BJ29" s="36"/>
      <c r="BK29" s="36"/>
      <c r="BL29" s="36"/>
      <c r="BM29" s="36"/>
      <c r="BN29" s="38"/>
      <c r="BO29" s="23"/>
      <c r="BP29" s="23"/>
      <c r="BQ29" s="29"/>
      <c r="BR29" s="23"/>
      <c r="BS29" s="11"/>
      <c r="BT29" s="13"/>
      <c r="BU29" s="13"/>
      <c r="BV29" s="13"/>
      <c r="BW29" s="12"/>
      <c r="BX29" s="11"/>
      <c r="BY29" s="13"/>
      <c r="BZ29" s="13"/>
      <c r="CA29" s="13"/>
      <c r="CB29" s="13"/>
      <c r="CC29" s="14"/>
      <c r="CD29" s="56" t="str">
        <f t="shared" si="17"/>
        <v/>
      </c>
      <c r="CE29" s="53">
        <f t="shared" si="0"/>
        <v>0</v>
      </c>
      <c r="CF29" s="53">
        <f t="shared" si="1"/>
        <v>0</v>
      </c>
      <c r="CG29" s="53">
        <f t="shared" si="2"/>
        <v>1</v>
      </c>
      <c r="CH29" s="53">
        <f t="shared" si="3"/>
        <v>1</v>
      </c>
      <c r="CI29" s="53">
        <f t="shared" si="4"/>
        <v>1</v>
      </c>
      <c r="CJ29" s="53">
        <f t="shared" si="5"/>
        <v>1</v>
      </c>
      <c r="CK29" s="53">
        <f t="shared" si="6"/>
        <v>1</v>
      </c>
      <c r="CL29" s="53">
        <f t="shared" si="7"/>
        <v>1</v>
      </c>
      <c r="CM29" s="53">
        <f t="shared" si="8"/>
        <v>1</v>
      </c>
      <c r="CN29" s="53">
        <f t="shared" si="9"/>
        <v>1</v>
      </c>
      <c r="CO29" s="53">
        <f t="shared" si="18"/>
        <v>8</v>
      </c>
      <c r="CQ29" s="73" t="str">
        <f t="shared" si="10"/>
        <v/>
      </c>
      <c r="CR29" s="54" t="str">
        <f t="shared" si="11"/>
        <v/>
      </c>
      <c r="CS29" s="54" t="str">
        <f t="shared" si="12"/>
        <v/>
      </c>
      <c r="CT29" s="54" t="str">
        <f t="shared" si="13"/>
        <v/>
      </c>
      <c r="CU29" s="54" t="str">
        <f t="shared" si="14"/>
        <v/>
      </c>
      <c r="CV29" s="54" t="str">
        <f t="shared" si="15"/>
        <v/>
      </c>
      <c r="CW29" s="54" t="str">
        <f t="shared" si="16"/>
        <v/>
      </c>
    </row>
    <row r="30" spans="1:101" ht="23.4" customHeight="1" x14ac:dyDescent="0.2">
      <c r="A30" s="50">
        <v>22</v>
      </c>
      <c r="B30" s="117"/>
      <c r="C30" s="117"/>
      <c r="D30" s="117"/>
      <c r="E30" s="117"/>
      <c r="F30" s="117"/>
      <c r="G30" s="117"/>
      <c r="H30" s="117"/>
      <c r="I30" s="117"/>
      <c r="J30" s="117"/>
      <c r="K30" s="117"/>
      <c r="L30" s="117"/>
      <c r="M30" s="119"/>
      <c r="N30" s="22"/>
      <c r="O30" s="23"/>
      <c r="P30" s="23"/>
      <c r="Q30" s="24"/>
      <c r="R30" s="35"/>
      <c r="S30" s="36"/>
      <c r="T30" s="36"/>
      <c r="U30" s="36"/>
      <c r="V30" s="35"/>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7"/>
      <c r="BG30" s="36"/>
      <c r="BH30" s="36"/>
      <c r="BI30" s="36"/>
      <c r="BJ30" s="36"/>
      <c r="BK30" s="36"/>
      <c r="BL30" s="36"/>
      <c r="BM30" s="36"/>
      <c r="BN30" s="38"/>
      <c r="BO30" s="23"/>
      <c r="BP30" s="23"/>
      <c r="BQ30" s="29"/>
      <c r="BR30" s="23"/>
      <c r="BS30" s="11"/>
      <c r="BT30" s="13"/>
      <c r="BU30" s="13"/>
      <c r="BV30" s="13"/>
      <c r="BW30" s="12"/>
      <c r="BX30" s="11"/>
      <c r="BY30" s="13"/>
      <c r="BZ30" s="13"/>
      <c r="CA30" s="13"/>
      <c r="CB30" s="13"/>
      <c r="CC30" s="14"/>
      <c r="CD30" s="56" t="str">
        <f t="shared" si="17"/>
        <v/>
      </c>
      <c r="CE30" s="53">
        <f t="shared" si="0"/>
        <v>0</v>
      </c>
      <c r="CF30" s="53">
        <f t="shared" si="1"/>
        <v>0</v>
      </c>
      <c r="CG30" s="53">
        <f t="shared" si="2"/>
        <v>1</v>
      </c>
      <c r="CH30" s="53">
        <f t="shared" si="3"/>
        <v>1</v>
      </c>
      <c r="CI30" s="53">
        <f t="shared" si="4"/>
        <v>1</v>
      </c>
      <c r="CJ30" s="53">
        <f t="shared" si="5"/>
        <v>1</v>
      </c>
      <c r="CK30" s="53">
        <f t="shared" si="6"/>
        <v>1</v>
      </c>
      <c r="CL30" s="53">
        <f t="shared" si="7"/>
        <v>1</v>
      </c>
      <c r="CM30" s="53">
        <f t="shared" si="8"/>
        <v>1</v>
      </c>
      <c r="CN30" s="53">
        <f t="shared" si="9"/>
        <v>1</v>
      </c>
      <c r="CO30" s="53">
        <f t="shared" si="18"/>
        <v>8</v>
      </c>
      <c r="CQ30" s="73" t="str">
        <f t="shared" si="10"/>
        <v/>
      </c>
      <c r="CR30" s="54" t="str">
        <f t="shared" si="11"/>
        <v/>
      </c>
      <c r="CS30" s="54" t="str">
        <f t="shared" si="12"/>
        <v/>
      </c>
      <c r="CT30" s="54" t="str">
        <f t="shared" si="13"/>
        <v/>
      </c>
      <c r="CU30" s="54" t="str">
        <f t="shared" si="14"/>
        <v/>
      </c>
      <c r="CV30" s="54" t="str">
        <f t="shared" si="15"/>
        <v/>
      </c>
      <c r="CW30" s="54" t="str">
        <f t="shared" si="16"/>
        <v/>
      </c>
    </row>
    <row r="31" spans="1:101" ht="23.4" customHeight="1" x14ac:dyDescent="0.2">
      <c r="A31" s="50">
        <v>23</v>
      </c>
      <c r="B31" s="117"/>
      <c r="C31" s="117"/>
      <c r="D31" s="117"/>
      <c r="E31" s="117"/>
      <c r="F31" s="117"/>
      <c r="G31" s="117"/>
      <c r="H31" s="117"/>
      <c r="I31" s="117"/>
      <c r="J31" s="117"/>
      <c r="K31" s="117"/>
      <c r="L31" s="117"/>
      <c r="M31" s="119"/>
      <c r="N31" s="22"/>
      <c r="O31" s="23"/>
      <c r="P31" s="23"/>
      <c r="Q31" s="24"/>
      <c r="R31" s="35"/>
      <c r="S31" s="36"/>
      <c r="T31" s="36"/>
      <c r="U31" s="36"/>
      <c r="V31" s="35"/>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7"/>
      <c r="BG31" s="36"/>
      <c r="BH31" s="36"/>
      <c r="BI31" s="36"/>
      <c r="BJ31" s="36"/>
      <c r="BK31" s="36"/>
      <c r="BL31" s="36"/>
      <c r="BM31" s="36"/>
      <c r="BN31" s="38"/>
      <c r="BO31" s="23"/>
      <c r="BP31" s="23"/>
      <c r="BQ31" s="29"/>
      <c r="BR31" s="23"/>
      <c r="BS31" s="11"/>
      <c r="BT31" s="13"/>
      <c r="BU31" s="13"/>
      <c r="BV31" s="13"/>
      <c r="BW31" s="12"/>
      <c r="BX31" s="11"/>
      <c r="BY31" s="13"/>
      <c r="BZ31" s="13"/>
      <c r="CA31" s="13"/>
      <c r="CB31" s="13"/>
      <c r="CC31" s="14"/>
      <c r="CD31" s="56" t="str">
        <f t="shared" si="17"/>
        <v/>
      </c>
      <c r="CE31" s="53">
        <f t="shared" si="0"/>
        <v>0</v>
      </c>
      <c r="CF31" s="53">
        <f t="shared" si="1"/>
        <v>0</v>
      </c>
      <c r="CG31" s="53">
        <f t="shared" si="2"/>
        <v>1</v>
      </c>
      <c r="CH31" s="53">
        <f t="shared" si="3"/>
        <v>1</v>
      </c>
      <c r="CI31" s="53">
        <f t="shared" si="4"/>
        <v>1</v>
      </c>
      <c r="CJ31" s="53">
        <f t="shared" si="5"/>
        <v>1</v>
      </c>
      <c r="CK31" s="53">
        <f t="shared" si="6"/>
        <v>1</v>
      </c>
      <c r="CL31" s="53">
        <f t="shared" si="7"/>
        <v>1</v>
      </c>
      <c r="CM31" s="53">
        <f t="shared" si="8"/>
        <v>1</v>
      </c>
      <c r="CN31" s="53">
        <f t="shared" si="9"/>
        <v>1</v>
      </c>
      <c r="CO31" s="53">
        <f t="shared" si="18"/>
        <v>8</v>
      </c>
      <c r="CQ31" s="73" t="str">
        <f t="shared" si="10"/>
        <v/>
      </c>
      <c r="CR31" s="54" t="str">
        <f t="shared" si="11"/>
        <v/>
      </c>
      <c r="CS31" s="54" t="str">
        <f t="shared" si="12"/>
        <v/>
      </c>
      <c r="CT31" s="54" t="str">
        <f t="shared" si="13"/>
        <v/>
      </c>
      <c r="CU31" s="54" t="str">
        <f t="shared" si="14"/>
        <v/>
      </c>
      <c r="CV31" s="54" t="str">
        <f t="shared" si="15"/>
        <v/>
      </c>
      <c r="CW31" s="54" t="str">
        <f t="shared" si="16"/>
        <v/>
      </c>
    </row>
    <row r="32" spans="1:101" ht="23.4" customHeight="1" x14ac:dyDescent="0.2">
      <c r="A32" s="50">
        <v>24</v>
      </c>
      <c r="B32" s="117"/>
      <c r="C32" s="117"/>
      <c r="D32" s="117"/>
      <c r="E32" s="117"/>
      <c r="F32" s="117"/>
      <c r="G32" s="117"/>
      <c r="H32" s="117"/>
      <c r="I32" s="117"/>
      <c r="J32" s="117"/>
      <c r="K32" s="117"/>
      <c r="L32" s="117"/>
      <c r="M32" s="119"/>
      <c r="N32" s="22"/>
      <c r="O32" s="23"/>
      <c r="P32" s="23"/>
      <c r="Q32" s="24"/>
      <c r="R32" s="35"/>
      <c r="S32" s="36"/>
      <c r="T32" s="36"/>
      <c r="U32" s="36"/>
      <c r="V32" s="35"/>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7"/>
      <c r="BG32" s="36"/>
      <c r="BH32" s="36"/>
      <c r="BI32" s="36"/>
      <c r="BJ32" s="36"/>
      <c r="BK32" s="36"/>
      <c r="BL32" s="36"/>
      <c r="BM32" s="36"/>
      <c r="BN32" s="38"/>
      <c r="BO32" s="23"/>
      <c r="BP32" s="23"/>
      <c r="BQ32" s="29"/>
      <c r="BR32" s="23"/>
      <c r="BS32" s="11"/>
      <c r="BT32" s="13"/>
      <c r="BU32" s="13"/>
      <c r="BV32" s="13"/>
      <c r="BW32" s="12"/>
      <c r="BX32" s="11"/>
      <c r="BY32" s="13"/>
      <c r="BZ32" s="13"/>
      <c r="CA32" s="13"/>
      <c r="CB32" s="13"/>
      <c r="CC32" s="14"/>
      <c r="CD32" s="56" t="str">
        <f t="shared" si="17"/>
        <v/>
      </c>
      <c r="CE32" s="53">
        <f t="shared" si="0"/>
        <v>0</v>
      </c>
      <c r="CF32" s="53">
        <f t="shared" si="1"/>
        <v>0</v>
      </c>
      <c r="CG32" s="53">
        <f t="shared" si="2"/>
        <v>1</v>
      </c>
      <c r="CH32" s="53">
        <f t="shared" si="3"/>
        <v>1</v>
      </c>
      <c r="CI32" s="53">
        <f t="shared" si="4"/>
        <v>1</v>
      </c>
      <c r="CJ32" s="53">
        <f t="shared" si="5"/>
        <v>1</v>
      </c>
      <c r="CK32" s="53">
        <f t="shared" si="6"/>
        <v>1</v>
      </c>
      <c r="CL32" s="53">
        <f t="shared" si="7"/>
        <v>1</v>
      </c>
      <c r="CM32" s="53">
        <f t="shared" si="8"/>
        <v>1</v>
      </c>
      <c r="CN32" s="53">
        <f t="shared" si="9"/>
        <v>1</v>
      </c>
      <c r="CO32" s="53">
        <f t="shared" si="18"/>
        <v>8</v>
      </c>
      <c r="CQ32" s="73" t="str">
        <f t="shared" si="10"/>
        <v/>
      </c>
      <c r="CR32" s="54" t="str">
        <f t="shared" si="11"/>
        <v/>
      </c>
      <c r="CS32" s="54" t="str">
        <f t="shared" si="12"/>
        <v/>
      </c>
      <c r="CT32" s="54" t="str">
        <f t="shared" si="13"/>
        <v/>
      </c>
      <c r="CU32" s="54" t="str">
        <f t="shared" si="14"/>
        <v/>
      </c>
      <c r="CV32" s="54" t="str">
        <f t="shared" si="15"/>
        <v/>
      </c>
      <c r="CW32" s="54" t="str">
        <f t="shared" si="16"/>
        <v/>
      </c>
    </row>
    <row r="33" spans="1:126" ht="23.4" customHeight="1" x14ac:dyDescent="0.2">
      <c r="A33" s="50">
        <v>25</v>
      </c>
      <c r="B33" s="117"/>
      <c r="C33" s="117"/>
      <c r="D33" s="117"/>
      <c r="E33" s="117"/>
      <c r="F33" s="117"/>
      <c r="G33" s="117"/>
      <c r="H33" s="117"/>
      <c r="I33" s="117"/>
      <c r="J33" s="117"/>
      <c r="K33" s="117"/>
      <c r="L33" s="117"/>
      <c r="M33" s="119"/>
      <c r="N33" s="22"/>
      <c r="O33" s="23"/>
      <c r="P33" s="23"/>
      <c r="Q33" s="24"/>
      <c r="R33" s="35"/>
      <c r="S33" s="36"/>
      <c r="T33" s="36"/>
      <c r="U33" s="36"/>
      <c r="V33" s="35"/>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7"/>
      <c r="BG33" s="36"/>
      <c r="BH33" s="36"/>
      <c r="BI33" s="36"/>
      <c r="BJ33" s="36"/>
      <c r="BK33" s="36"/>
      <c r="BL33" s="36"/>
      <c r="BM33" s="36"/>
      <c r="BN33" s="38"/>
      <c r="BO33" s="23"/>
      <c r="BP33" s="23"/>
      <c r="BQ33" s="29"/>
      <c r="BR33" s="23"/>
      <c r="BS33" s="11"/>
      <c r="BT33" s="13"/>
      <c r="BU33" s="13"/>
      <c r="BV33" s="13"/>
      <c r="BW33" s="12"/>
      <c r="BX33" s="11"/>
      <c r="BY33" s="13"/>
      <c r="BZ33" s="13"/>
      <c r="CA33" s="13"/>
      <c r="CB33" s="13"/>
      <c r="CC33" s="14"/>
      <c r="CD33" s="56" t="str">
        <f t="shared" si="17"/>
        <v/>
      </c>
      <c r="CE33" s="53">
        <f t="shared" si="0"/>
        <v>0</v>
      </c>
      <c r="CF33" s="53">
        <f t="shared" si="1"/>
        <v>0</v>
      </c>
      <c r="CG33" s="53">
        <f t="shared" si="2"/>
        <v>1</v>
      </c>
      <c r="CH33" s="53">
        <f t="shared" si="3"/>
        <v>1</v>
      </c>
      <c r="CI33" s="53">
        <f t="shared" si="4"/>
        <v>1</v>
      </c>
      <c r="CJ33" s="53">
        <f t="shared" si="5"/>
        <v>1</v>
      </c>
      <c r="CK33" s="53">
        <f t="shared" si="6"/>
        <v>1</v>
      </c>
      <c r="CL33" s="53">
        <f t="shared" si="7"/>
        <v>1</v>
      </c>
      <c r="CM33" s="53">
        <f t="shared" si="8"/>
        <v>1</v>
      </c>
      <c r="CN33" s="53">
        <f t="shared" si="9"/>
        <v>1</v>
      </c>
      <c r="CO33" s="53">
        <f t="shared" si="18"/>
        <v>8</v>
      </c>
      <c r="CQ33" s="73" t="str">
        <f t="shared" si="10"/>
        <v/>
      </c>
      <c r="CR33" s="54" t="str">
        <f t="shared" si="11"/>
        <v/>
      </c>
      <c r="CS33" s="54" t="str">
        <f t="shared" si="12"/>
        <v/>
      </c>
      <c r="CT33" s="54" t="str">
        <f t="shared" si="13"/>
        <v/>
      </c>
      <c r="CU33" s="54" t="str">
        <f t="shared" si="14"/>
        <v/>
      </c>
      <c r="CV33" s="54" t="str">
        <f t="shared" si="15"/>
        <v/>
      </c>
      <c r="CW33" s="54" t="str">
        <f t="shared" si="16"/>
        <v/>
      </c>
    </row>
    <row r="34" spans="1:126" ht="23.4" customHeight="1" x14ac:dyDescent="0.2">
      <c r="A34" s="50">
        <v>26</v>
      </c>
      <c r="B34" s="117"/>
      <c r="C34" s="117"/>
      <c r="D34" s="117"/>
      <c r="E34" s="117"/>
      <c r="F34" s="117"/>
      <c r="G34" s="117"/>
      <c r="H34" s="117"/>
      <c r="I34" s="117"/>
      <c r="J34" s="117"/>
      <c r="K34" s="117"/>
      <c r="L34" s="117"/>
      <c r="M34" s="119"/>
      <c r="N34" s="22"/>
      <c r="O34" s="23"/>
      <c r="P34" s="23"/>
      <c r="Q34" s="24"/>
      <c r="R34" s="35"/>
      <c r="S34" s="36"/>
      <c r="T34" s="36"/>
      <c r="U34" s="36"/>
      <c r="V34" s="35"/>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7"/>
      <c r="BG34" s="36"/>
      <c r="BH34" s="36"/>
      <c r="BI34" s="36"/>
      <c r="BJ34" s="36"/>
      <c r="BK34" s="36"/>
      <c r="BL34" s="36"/>
      <c r="BM34" s="36"/>
      <c r="BN34" s="38"/>
      <c r="BO34" s="23"/>
      <c r="BP34" s="23"/>
      <c r="BQ34" s="29"/>
      <c r="BR34" s="23"/>
      <c r="BS34" s="11"/>
      <c r="BT34" s="13"/>
      <c r="BU34" s="13"/>
      <c r="BV34" s="13"/>
      <c r="BW34" s="12"/>
      <c r="BX34" s="11"/>
      <c r="BY34" s="13"/>
      <c r="BZ34" s="13"/>
      <c r="CA34" s="13"/>
      <c r="CB34" s="13"/>
      <c r="CC34" s="14"/>
      <c r="CD34" s="56" t="str">
        <f t="shared" si="17"/>
        <v/>
      </c>
      <c r="CE34" s="53">
        <f t="shared" si="0"/>
        <v>0</v>
      </c>
      <c r="CF34" s="53">
        <f t="shared" si="1"/>
        <v>0</v>
      </c>
      <c r="CG34" s="53">
        <f t="shared" si="2"/>
        <v>1</v>
      </c>
      <c r="CH34" s="53">
        <f t="shared" si="3"/>
        <v>1</v>
      </c>
      <c r="CI34" s="53">
        <f t="shared" si="4"/>
        <v>1</v>
      </c>
      <c r="CJ34" s="53">
        <f t="shared" si="5"/>
        <v>1</v>
      </c>
      <c r="CK34" s="53">
        <f t="shared" si="6"/>
        <v>1</v>
      </c>
      <c r="CL34" s="53">
        <f t="shared" si="7"/>
        <v>1</v>
      </c>
      <c r="CM34" s="53">
        <f t="shared" si="8"/>
        <v>1</v>
      </c>
      <c r="CN34" s="53">
        <f t="shared" si="9"/>
        <v>1</v>
      </c>
      <c r="CO34" s="53">
        <f t="shared" si="18"/>
        <v>8</v>
      </c>
      <c r="CQ34" s="73" t="str">
        <f t="shared" si="10"/>
        <v/>
      </c>
      <c r="CR34" s="54" t="str">
        <f t="shared" si="11"/>
        <v/>
      </c>
      <c r="CS34" s="54" t="str">
        <f t="shared" si="12"/>
        <v/>
      </c>
      <c r="CT34" s="54" t="str">
        <f t="shared" si="13"/>
        <v/>
      </c>
      <c r="CU34" s="54" t="str">
        <f t="shared" si="14"/>
        <v/>
      </c>
      <c r="CV34" s="54" t="str">
        <f t="shared" si="15"/>
        <v/>
      </c>
      <c r="CW34" s="54" t="str">
        <f t="shared" si="16"/>
        <v/>
      </c>
    </row>
    <row r="35" spans="1:126" ht="23.4" customHeight="1" x14ac:dyDescent="0.2">
      <c r="A35" s="50">
        <v>27</v>
      </c>
      <c r="B35" s="117"/>
      <c r="C35" s="117"/>
      <c r="D35" s="117"/>
      <c r="E35" s="117"/>
      <c r="F35" s="117"/>
      <c r="G35" s="117"/>
      <c r="H35" s="117"/>
      <c r="I35" s="117"/>
      <c r="J35" s="117"/>
      <c r="K35" s="117"/>
      <c r="L35" s="117"/>
      <c r="M35" s="119"/>
      <c r="N35" s="22"/>
      <c r="O35" s="23"/>
      <c r="P35" s="23"/>
      <c r="Q35" s="24"/>
      <c r="R35" s="35"/>
      <c r="S35" s="36"/>
      <c r="T35" s="36"/>
      <c r="U35" s="36"/>
      <c r="V35" s="35"/>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7"/>
      <c r="BG35" s="36"/>
      <c r="BH35" s="36"/>
      <c r="BI35" s="36"/>
      <c r="BJ35" s="36"/>
      <c r="BK35" s="36"/>
      <c r="BL35" s="36"/>
      <c r="BM35" s="36"/>
      <c r="BN35" s="38"/>
      <c r="BO35" s="23"/>
      <c r="BP35" s="23"/>
      <c r="BQ35" s="29"/>
      <c r="BR35" s="23"/>
      <c r="BS35" s="11"/>
      <c r="BT35" s="13"/>
      <c r="BU35" s="13"/>
      <c r="BV35" s="13"/>
      <c r="BW35" s="12"/>
      <c r="BX35" s="11"/>
      <c r="BY35" s="13"/>
      <c r="BZ35" s="13"/>
      <c r="CA35" s="13"/>
      <c r="CB35" s="13"/>
      <c r="CC35" s="14"/>
      <c r="CD35" s="56" t="str">
        <f t="shared" si="17"/>
        <v/>
      </c>
      <c r="CE35" s="53">
        <f t="shared" si="0"/>
        <v>0</v>
      </c>
      <c r="CF35" s="53">
        <f t="shared" si="1"/>
        <v>0</v>
      </c>
      <c r="CG35" s="53">
        <f t="shared" si="2"/>
        <v>1</v>
      </c>
      <c r="CH35" s="53">
        <f t="shared" si="3"/>
        <v>1</v>
      </c>
      <c r="CI35" s="53">
        <f t="shared" si="4"/>
        <v>1</v>
      </c>
      <c r="CJ35" s="53">
        <f t="shared" si="5"/>
        <v>1</v>
      </c>
      <c r="CK35" s="53">
        <f t="shared" si="6"/>
        <v>1</v>
      </c>
      <c r="CL35" s="53">
        <f t="shared" si="7"/>
        <v>1</v>
      </c>
      <c r="CM35" s="53">
        <f t="shared" si="8"/>
        <v>1</v>
      </c>
      <c r="CN35" s="53">
        <f t="shared" si="9"/>
        <v>1</v>
      </c>
      <c r="CO35" s="53">
        <f t="shared" si="18"/>
        <v>8</v>
      </c>
      <c r="CQ35" s="73" t="str">
        <f t="shared" si="10"/>
        <v/>
      </c>
      <c r="CR35" s="54" t="str">
        <f t="shared" si="11"/>
        <v/>
      </c>
      <c r="CS35" s="54" t="str">
        <f t="shared" si="12"/>
        <v/>
      </c>
      <c r="CT35" s="54" t="str">
        <f t="shared" si="13"/>
        <v/>
      </c>
      <c r="CU35" s="54" t="str">
        <f t="shared" si="14"/>
        <v/>
      </c>
      <c r="CV35" s="54" t="str">
        <f t="shared" si="15"/>
        <v/>
      </c>
      <c r="CW35" s="54" t="str">
        <f t="shared" si="16"/>
        <v/>
      </c>
    </row>
    <row r="36" spans="1:126" ht="23.4" customHeight="1" x14ac:dyDescent="0.2">
      <c r="A36" s="50">
        <v>28</v>
      </c>
      <c r="B36" s="117"/>
      <c r="C36" s="117"/>
      <c r="D36" s="117"/>
      <c r="E36" s="117"/>
      <c r="F36" s="117"/>
      <c r="G36" s="117"/>
      <c r="H36" s="117"/>
      <c r="I36" s="117"/>
      <c r="J36" s="117"/>
      <c r="K36" s="117"/>
      <c r="L36" s="117"/>
      <c r="M36" s="119"/>
      <c r="N36" s="22"/>
      <c r="O36" s="23"/>
      <c r="P36" s="23"/>
      <c r="Q36" s="24"/>
      <c r="R36" s="35"/>
      <c r="S36" s="36"/>
      <c r="T36" s="36"/>
      <c r="U36" s="36"/>
      <c r="V36" s="35"/>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7"/>
      <c r="BG36" s="36"/>
      <c r="BH36" s="36"/>
      <c r="BI36" s="36"/>
      <c r="BJ36" s="36"/>
      <c r="BK36" s="36"/>
      <c r="BL36" s="36"/>
      <c r="BM36" s="36"/>
      <c r="BN36" s="38"/>
      <c r="BO36" s="23"/>
      <c r="BP36" s="23"/>
      <c r="BQ36" s="29"/>
      <c r="BR36" s="23"/>
      <c r="BS36" s="11"/>
      <c r="BT36" s="13"/>
      <c r="BU36" s="13"/>
      <c r="BV36" s="13"/>
      <c r="BW36" s="12"/>
      <c r="BX36" s="11"/>
      <c r="BY36" s="13"/>
      <c r="BZ36" s="13"/>
      <c r="CA36" s="13"/>
      <c r="CB36" s="13"/>
      <c r="CC36" s="14"/>
      <c r="CD36" s="56" t="str">
        <f t="shared" si="17"/>
        <v/>
      </c>
      <c r="CE36" s="53">
        <f t="shared" si="0"/>
        <v>0</v>
      </c>
      <c r="CF36" s="53">
        <f t="shared" si="1"/>
        <v>0</v>
      </c>
      <c r="CG36" s="53">
        <f t="shared" si="2"/>
        <v>1</v>
      </c>
      <c r="CH36" s="53">
        <f t="shared" si="3"/>
        <v>1</v>
      </c>
      <c r="CI36" s="53">
        <f t="shared" si="4"/>
        <v>1</v>
      </c>
      <c r="CJ36" s="53">
        <f t="shared" si="5"/>
        <v>1</v>
      </c>
      <c r="CK36" s="53">
        <f t="shared" si="6"/>
        <v>1</v>
      </c>
      <c r="CL36" s="53">
        <f t="shared" si="7"/>
        <v>1</v>
      </c>
      <c r="CM36" s="53">
        <f t="shared" si="8"/>
        <v>1</v>
      </c>
      <c r="CN36" s="53">
        <f t="shared" si="9"/>
        <v>1</v>
      </c>
      <c r="CO36" s="53">
        <f t="shared" si="18"/>
        <v>8</v>
      </c>
      <c r="CQ36" s="73" t="str">
        <f t="shared" si="10"/>
        <v/>
      </c>
      <c r="CR36" s="54" t="str">
        <f t="shared" si="11"/>
        <v/>
      </c>
      <c r="CS36" s="54" t="str">
        <f t="shared" si="12"/>
        <v/>
      </c>
      <c r="CT36" s="54" t="str">
        <f t="shared" si="13"/>
        <v/>
      </c>
      <c r="CU36" s="54" t="str">
        <f t="shared" si="14"/>
        <v/>
      </c>
      <c r="CV36" s="54" t="str">
        <f t="shared" si="15"/>
        <v/>
      </c>
      <c r="CW36" s="54" t="str">
        <f t="shared" si="16"/>
        <v/>
      </c>
    </row>
    <row r="37" spans="1:126" ht="23.4" customHeight="1" x14ac:dyDescent="0.2">
      <c r="A37" s="50">
        <v>29</v>
      </c>
      <c r="B37" s="117"/>
      <c r="C37" s="117"/>
      <c r="D37" s="117"/>
      <c r="E37" s="117"/>
      <c r="F37" s="117"/>
      <c r="G37" s="117"/>
      <c r="H37" s="117"/>
      <c r="I37" s="117"/>
      <c r="J37" s="117"/>
      <c r="K37" s="117"/>
      <c r="L37" s="117"/>
      <c r="M37" s="119"/>
      <c r="N37" s="22"/>
      <c r="O37" s="23"/>
      <c r="P37" s="23"/>
      <c r="Q37" s="24"/>
      <c r="R37" s="35"/>
      <c r="S37" s="36"/>
      <c r="T37" s="36"/>
      <c r="U37" s="36"/>
      <c r="V37" s="35"/>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7"/>
      <c r="BG37" s="36"/>
      <c r="BH37" s="36"/>
      <c r="BI37" s="36"/>
      <c r="BJ37" s="36"/>
      <c r="BK37" s="36"/>
      <c r="BL37" s="36"/>
      <c r="BM37" s="36"/>
      <c r="BN37" s="38"/>
      <c r="BO37" s="23"/>
      <c r="BP37" s="23"/>
      <c r="BQ37" s="29"/>
      <c r="BR37" s="23"/>
      <c r="BS37" s="11"/>
      <c r="BT37" s="13"/>
      <c r="BU37" s="13"/>
      <c r="BV37" s="13"/>
      <c r="BW37" s="12"/>
      <c r="BX37" s="11"/>
      <c r="BY37" s="13"/>
      <c r="BZ37" s="13"/>
      <c r="CA37" s="13"/>
      <c r="CB37" s="13"/>
      <c r="CC37" s="14"/>
      <c r="CD37" s="56" t="str">
        <f t="shared" si="17"/>
        <v/>
      </c>
      <c r="CE37" s="53">
        <f t="shared" si="0"/>
        <v>0</v>
      </c>
      <c r="CF37" s="53">
        <f t="shared" si="1"/>
        <v>0</v>
      </c>
      <c r="CG37" s="53">
        <f t="shared" si="2"/>
        <v>1</v>
      </c>
      <c r="CH37" s="53">
        <f t="shared" si="3"/>
        <v>1</v>
      </c>
      <c r="CI37" s="53">
        <f t="shared" si="4"/>
        <v>1</v>
      </c>
      <c r="CJ37" s="53">
        <f t="shared" si="5"/>
        <v>1</v>
      </c>
      <c r="CK37" s="53">
        <f t="shared" si="6"/>
        <v>1</v>
      </c>
      <c r="CL37" s="53">
        <f t="shared" si="7"/>
        <v>1</v>
      </c>
      <c r="CM37" s="53">
        <f t="shared" si="8"/>
        <v>1</v>
      </c>
      <c r="CN37" s="53">
        <f t="shared" si="9"/>
        <v>1</v>
      </c>
      <c r="CO37" s="53">
        <f t="shared" si="18"/>
        <v>8</v>
      </c>
      <c r="CQ37" s="73" t="str">
        <f t="shared" si="10"/>
        <v/>
      </c>
      <c r="CR37" s="54" t="str">
        <f t="shared" si="11"/>
        <v/>
      </c>
      <c r="CS37" s="54" t="str">
        <f t="shared" si="12"/>
        <v/>
      </c>
      <c r="CT37" s="54" t="str">
        <f t="shared" si="13"/>
        <v/>
      </c>
      <c r="CU37" s="54" t="str">
        <f t="shared" si="14"/>
        <v/>
      </c>
      <c r="CV37" s="54" t="str">
        <f t="shared" si="15"/>
        <v/>
      </c>
      <c r="CW37" s="54" t="str">
        <f t="shared" si="16"/>
        <v/>
      </c>
    </row>
    <row r="38" spans="1:126" ht="23.4" customHeight="1" thickBot="1" x14ac:dyDescent="0.25">
      <c r="A38" s="51">
        <v>30</v>
      </c>
      <c r="B38" s="117"/>
      <c r="C38" s="117"/>
      <c r="D38" s="117"/>
      <c r="E38" s="117"/>
      <c r="F38" s="117"/>
      <c r="G38" s="117"/>
      <c r="H38" s="117"/>
      <c r="I38" s="117"/>
      <c r="J38" s="117"/>
      <c r="K38" s="117"/>
      <c r="L38" s="117"/>
      <c r="M38" s="119"/>
      <c r="N38" s="25"/>
      <c r="O38" s="91"/>
      <c r="P38" s="26"/>
      <c r="Q38" s="27"/>
      <c r="R38" s="39"/>
      <c r="S38" s="40"/>
      <c r="T38" s="40"/>
      <c r="U38" s="40"/>
      <c r="V38" s="39"/>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1"/>
      <c r="BG38" s="40"/>
      <c r="BH38" s="40"/>
      <c r="BI38" s="40"/>
      <c r="BJ38" s="40"/>
      <c r="BK38" s="40"/>
      <c r="BL38" s="40"/>
      <c r="BM38" s="40"/>
      <c r="BN38" s="42"/>
      <c r="BO38" s="26"/>
      <c r="BP38" s="26"/>
      <c r="BQ38" s="30"/>
      <c r="BR38" s="26"/>
      <c r="BS38" s="15"/>
      <c r="BT38" s="17"/>
      <c r="BU38" s="17"/>
      <c r="BV38" s="17"/>
      <c r="BW38" s="16"/>
      <c r="BX38" s="15"/>
      <c r="BY38" s="17"/>
      <c r="BZ38" s="17"/>
      <c r="CA38" s="17"/>
      <c r="CB38" s="17"/>
      <c r="CC38" s="18"/>
      <c r="CD38" s="56" t="str">
        <f t="shared" si="17"/>
        <v/>
      </c>
      <c r="CE38" s="53">
        <f t="shared" si="0"/>
        <v>0</v>
      </c>
      <c r="CF38" s="53">
        <f t="shared" si="1"/>
        <v>0</v>
      </c>
      <c r="CG38" s="53">
        <f t="shared" si="2"/>
        <v>1</v>
      </c>
      <c r="CH38" s="53">
        <f t="shared" si="3"/>
        <v>1</v>
      </c>
      <c r="CI38" s="53">
        <f t="shared" si="4"/>
        <v>1</v>
      </c>
      <c r="CJ38" s="53">
        <f t="shared" si="5"/>
        <v>1</v>
      </c>
      <c r="CK38" s="53">
        <f t="shared" si="6"/>
        <v>1</v>
      </c>
      <c r="CL38" s="53">
        <f t="shared" si="7"/>
        <v>1</v>
      </c>
      <c r="CM38" s="53">
        <f t="shared" si="8"/>
        <v>1</v>
      </c>
      <c r="CN38" s="53">
        <f t="shared" si="9"/>
        <v>1</v>
      </c>
      <c r="CO38" s="53">
        <f t="shared" si="18"/>
        <v>8</v>
      </c>
      <c r="CQ38" s="73" t="str">
        <f t="shared" si="10"/>
        <v/>
      </c>
      <c r="CR38" s="54" t="str">
        <f t="shared" si="11"/>
        <v/>
      </c>
      <c r="CS38" s="54" t="str">
        <f t="shared" si="12"/>
        <v/>
      </c>
      <c r="CT38" s="54" t="str">
        <f t="shared" si="13"/>
        <v/>
      </c>
      <c r="CU38" s="54" t="str">
        <f t="shared" si="14"/>
        <v/>
      </c>
      <c r="CV38" s="54" t="str">
        <f t="shared" si="15"/>
        <v/>
      </c>
      <c r="CW38" s="54" t="str">
        <f t="shared" si="16"/>
        <v/>
      </c>
    </row>
    <row r="39" spans="1:126" x14ac:dyDescent="0.2">
      <c r="A39" s="4" t="s">
        <v>37</v>
      </c>
    </row>
    <row r="40" spans="1:126" x14ac:dyDescent="0.2">
      <c r="A40" s="4" t="s">
        <v>38</v>
      </c>
    </row>
    <row r="41" spans="1:126" x14ac:dyDescent="0.2">
      <c r="A41" s="4" t="s">
        <v>168</v>
      </c>
      <c r="BT41" s="227" t="s">
        <v>157</v>
      </c>
      <c r="BU41" s="227"/>
      <c r="BV41" s="227"/>
      <c r="BW41" s="227"/>
    </row>
    <row r="42" spans="1:126" x14ac:dyDescent="0.2">
      <c r="A42" s="4" t="s">
        <v>39</v>
      </c>
      <c r="BT42" s="228"/>
      <c r="BU42" s="228"/>
      <c r="BV42" s="228"/>
      <c r="BW42" s="228"/>
      <c r="BX42" s="68"/>
      <c r="BY42" s="68"/>
      <c r="BZ42" s="68"/>
      <c r="CA42" s="69"/>
      <c r="CB42" s="68"/>
      <c r="CC42" s="68"/>
      <c r="CD42" s="68"/>
      <c r="CE42" s="68"/>
      <c r="CF42" s="69"/>
      <c r="CG42" s="68"/>
      <c r="CH42" s="68"/>
      <c r="CI42" s="68"/>
      <c r="CJ42" s="68"/>
      <c r="CK42" s="68"/>
      <c r="CL42" s="68"/>
      <c r="CM42" s="68"/>
      <c r="CN42" s="68"/>
      <c r="CO42" s="68"/>
      <c r="CP42" s="68"/>
      <c r="CQ42" s="68"/>
      <c r="CR42" s="68"/>
      <c r="CS42" s="68"/>
      <c r="CT42" s="68"/>
      <c r="CU42" s="68"/>
      <c r="CV42" s="68"/>
      <c r="CW42" s="68"/>
      <c r="CX42" s="68"/>
      <c r="CY42" s="68"/>
      <c r="CZ42" s="68"/>
      <c r="DA42" s="68"/>
      <c r="DB42" s="69"/>
      <c r="DC42" s="68"/>
      <c r="DD42" s="68"/>
      <c r="DE42" s="68"/>
      <c r="DF42" s="68"/>
      <c r="DG42" s="68"/>
      <c r="DH42" s="68"/>
      <c r="DI42" s="68"/>
      <c r="DJ42" s="68"/>
      <c r="DK42" s="68"/>
      <c r="DL42" s="68"/>
      <c r="DM42" s="68"/>
      <c r="DN42" s="68"/>
      <c r="DO42" s="68"/>
      <c r="DP42" s="68"/>
      <c r="DQ42" s="68"/>
      <c r="DR42" s="68"/>
      <c r="DS42" s="69"/>
      <c r="DT42" s="68"/>
      <c r="DU42" s="68"/>
      <c r="DV42" s="68"/>
    </row>
    <row r="43" spans="1:126" x14ac:dyDescent="0.2">
      <c r="BT43" s="64"/>
      <c r="BU43" s="217" t="s">
        <v>95</v>
      </c>
      <c r="BV43" s="217" t="s">
        <v>96</v>
      </c>
      <c r="BW43" s="220" t="s">
        <v>77</v>
      </c>
      <c r="BX43" s="221"/>
      <c r="BY43" s="221"/>
      <c r="BZ43" s="221"/>
      <c r="CA43" s="222"/>
      <c r="CB43" s="226" t="s">
        <v>78</v>
      </c>
      <c r="CC43" s="222"/>
      <c r="CD43" s="208" t="s">
        <v>40</v>
      </c>
      <c r="CE43" s="209"/>
      <c r="CF43" s="209"/>
      <c r="CG43" s="209"/>
      <c r="CH43" s="209"/>
      <c r="CI43" s="209"/>
      <c r="CJ43" s="209"/>
      <c r="CK43" s="209"/>
      <c r="CL43" s="209"/>
      <c r="CM43" s="209"/>
      <c r="CN43" s="209"/>
      <c r="CO43" s="209"/>
      <c r="CP43" s="210"/>
      <c r="CQ43" s="211" t="s">
        <v>41</v>
      </c>
      <c r="CR43" s="212"/>
      <c r="CS43" s="212"/>
      <c r="CT43" s="212"/>
      <c r="CU43" s="212"/>
      <c r="CV43" s="212"/>
      <c r="CW43" s="212"/>
      <c r="CX43" s="212"/>
      <c r="CY43" s="213"/>
      <c r="CZ43" s="211" t="s">
        <v>42</v>
      </c>
      <c r="DA43" s="212"/>
      <c r="DB43" s="212"/>
      <c r="DC43" s="212"/>
      <c r="DD43" s="212"/>
      <c r="DE43" s="212"/>
      <c r="DF43" s="212"/>
      <c r="DG43" s="212"/>
      <c r="DH43" s="212"/>
      <c r="DI43" s="212"/>
      <c r="DJ43" s="212"/>
      <c r="DK43" s="213"/>
      <c r="DL43" s="127" t="s">
        <v>7</v>
      </c>
      <c r="DM43" s="127"/>
      <c r="DN43" s="127"/>
      <c r="DO43" s="127"/>
      <c r="DP43" s="127"/>
      <c r="DQ43" s="127" t="s">
        <v>8</v>
      </c>
      <c r="DR43" s="127"/>
      <c r="DS43" s="127"/>
      <c r="DT43" s="127"/>
      <c r="DU43" s="127"/>
      <c r="DV43" s="127"/>
    </row>
    <row r="44" spans="1:126" x14ac:dyDescent="0.2">
      <c r="BT44" s="57"/>
      <c r="BU44" s="218"/>
      <c r="BV44" s="218"/>
      <c r="BW44" s="223"/>
      <c r="BX44" s="224"/>
      <c r="BY44" s="224"/>
      <c r="BZ44" s="224"/>
      <c r="CA44" s="225"/>
      <c r="CB44" s="223"/>
      <c r="CC44" s="225"/>
      <c r="CD44" s="208" t="s">
        <v>79</v>
      </c>
      <c r="CE44" s="209"/>
      <c r="CF44" s="209"/>
      <c r="CG44" s="209"/>
      <c r="CH44" s="209"/>
      <c r="CI44" s="209"/>
      <c r="CJ44" s="210"/>
      <c r="CK44" s="208" t="s">
        <v>80</v>
      </c>
      <c r="CL44" s="209"/>
      <c r="CM44" s="209"/>
      <c r="CN44" s="209"/>
      <c r="CO44" s="209"/>
      <c r="CP44" s="210"/>
      <c r="CQ44" s="214"/>
      <c r="CR44" s="215"/>
      <c r="CS44" s="215"/>
      <c r="CT44" s="215"/>
      <c r="CU44" s="215"/>
      <c r="CV44" s="215"/>
      <c r="CW44" s="215"/>
      <c r="CX44" s="215"/>
      <c r="CY44" s="216"/>
      <c r="CZ44" s="214"/>
      <c r="DA44" s="215"/>
      <c r="DB44" s="215"/>
      <c r="DC44" s="215"/>
      <c r="DD44" s="215"/>
      <c r="DE44" s="215"/>
      <c r="DF44" s="215"/>
      <c r="DG44" s="215"/>
      <c r="DH44" s="215"/>
      <c r="DI44" s="215"/>
      <c r="DJ44" s="215"/>
      <c r="DK44" s="216"/>
      <c r="DL44" s="127"/>
      <c r="DM44" s="127"/>
      <c r="DN44" s="127"/>
      <c r="DO44" s="127"/>
      <c r="DP44" s="127"/>
      <c r="DQ44" s="127"/>
      <c r="DR44" s="127"/>
      <c r="DS44" s="127"/>
      <c r="DT44" s="127"/>
      <c r="DU44" s="127"/>
      <c r="DV44" s="127"/>
    </row>
    <row r="45" spans="1:126" x14ac:dyDescent="0.2">
      <c r="BT45" s="58"/>
      <c r="BU45" s="219"/>
      <c r="BV45" s="219"/>
      <c r="BW45" s="59" t="s">
        <v>81</v>
      </c>
      <c r="BX45" s="59" t="s">
        <v>82</v>
      </c>
      <c r="BY45" s="59" t="s">
        <v>83</v>
      </c>
      <c r="BZ45" s="59" t="s">
        <v>84</v>
      </c>
      <c r="CA45" s="59" t="s">
        <v>85</v>
      </c>
      <c r="CB45" s="59" t="s">
        <v>81</v>
      </c>
      <c r="CC45" s="59" t="s">
        <v>82</v>
      </c>
      <c r="CD45" s="60" t="s">
        <v>81</v>
      </c>
      <c r="CE45" s="60" t="s">
        <v>82</v>
      </c>
      <c r="CF45" s="60" t="s">
        <v>83</v>
      </c>
      <c r="CG45" s="60" t="s">
        <v>84</v>
      </c>
      <c r="CH45" s="60" t="s">
        <v>85</v>
      </c>
      <c r="CI45" s="60" t="s">
        <v>86</v>
      </c>
      <c r="CJ45" s="60" t="s">
        <v>87</v>
      </c>
      <c r="CK45" s="60" t="s">
        <v>81</v>
      </c>
      <c r="CL45" s="60" t="s">
        <v>82</v>
      </c>
      <c r="CM45" s="60" t="s">
        <v>83</v>
      </c>
      <c r="CN45" s="60" t="s">
        <v>84</v>
      </c>
      <c r="CO45" s="60" t="s">
        <v>85</v>
      </c>
      <c r="CP45" s="60" t="s">
        <v>86</v>
      </c>
      <c r="CQ45" s="60" t="s">
        <v>81</v>
      </c>
      <c r="CR45" s="60" t="s">
        <v>82</v>
      </c>
      <c r="CS45" s="60" t="s">
        <v>83</v>
      </c>
      <c r="CT45" s="60" t="s">
        <v>84</v>
      </c>
      <c r="CU45" s="60" t="s">
        <v>85</v>
      </c>
      <c r="CV45" s="60" t="s">
        <v>86</v>
      </c>
      <c r="CW45" s="60" t="s">
        <v>87</v>
      </c>
      <c r="CX45" s="60" t="s">
        <v>88</v>
      </c>
      <c r="CY45" s="60" t="s">
        <v>89</v>
      </c>
      <c r="CZ45" s="61" t="s">
        <v>81</v>
      </c>
      <c r="DA45" s="60" t="s">
        <v>82</v>
      </c>
      <c r="DB45" s="60" t="s">
        <v>83</v>
      </c>
      <c r="DC45" s="60" t="s">
        <v>84</v>
      </c>
      <c r="DD45" s="62" t="s">
        <v>85</v>
      </c>
      <c r="DE45" s="62" t="s">
        <v>86</v>
      </c>
      <c r="DF45" s="62" t="s">
        <v>87</v>
      </c>
      <c r="DG45" s="62" t="s">
        <v>88</v>
      </c>
      <c r="DH45" s="60" t="s">
        <v>89</v>
      </c>
      <c r="DI45" s="60" t="s">
        <v>90</v>
      </c>
      <c r="DJ45" s="60" t="s">
        <v>91</v>
      </c>
      <c r="DK45" s="60" t="s">
        <v>92</v>
      </c>
      <c r="DL45" s="59" t="s">
        <v>81</v>
      </c>
      <c r="DM45" s="59" t="s">
        <v>82</v>
      </c>
      <c r="DN45" s="59" t="s">
        <v>83</v>
      </c>
      <c r="DO45" s="59" t="s">
        <v>84</v>
      </c>
      <c r="DP45" s="59" t="s">
        <v>85</v>
      </c>
      <c r="DQ45" s="59" t="s">
        <v>81</v>
      </c>
      <c r="DR45" s="59" t="s">
        <v>82</v>
      </c>
      <c r="DS45" s="59" t="s">
        <v>83</v>
      </c>
      <c r="DT45" s="59" t="s">
        <v>84</v>
      </c>
      <c r="DU45" s="59" t="s">
        <v>85</v>
      </c>
      <c r="DV45" s="62" t="s">
        <v>86</v>
      </c>
    </row>
    <row r="46" spans="1:126" ht="21.75" customHeight="1" thickBot="1" x14ac:dyDescent="0.25">
      <c r="BT46" s="74" t="s">
        <v>93</v>
      </c>
      <c r="BU46" s="75">
        <f>SUM(BU47:BU53)</f>
        <v>0</v>
      </c>
      <c r="BV46" s="75">
        <f t="shared" ref="BV46:DV46" si="19">SUM(BV47:BV53)</f>
        <v>0</v>
      </c>
      <c r="BW46" s="75">
        <f t="shared" si="19"/>
        <v>0</v>
      </c>
      <c r="BX46" s="75">
        <f t="shared" si="19"/>
        <v>0</v>
      </c>
      <c r="BY46" s="75">
        <f t="shared" si="19"/>
        <v>0</v>
      </c>
      <c r="BZ46" s="75">
        <f t="shared" si="19"/>
        <v>0</v>
      </c>
      <c r="CA46" s="75">
        <f t="shared" si="19"/>
        <v>0</v>
      </c>
      <c r="CB46" s="75">
        <f t="shared" si="19"/>
        <v>0</v>
      </c>
      <c r="CC46" s="75">
        <f t="shared" si="19"/>
        <v>0</v>
      </c>
      <c r="CD46" s="75">
        <f t="shared" si="19"/>
        <v>0</v>
      </c>
      <c r="CE46" s="75">
        <f t="shared" si="19"/>
        <v>0</v>
      </c>
      <c r="CF46" s="75">
        <f t="shared" si="19"/>
        <v>0</v>
      </c>
      <c r="CG46" s="75">
        <f t="shared" si="19"/>
        <v>0</v>
      </c>
      <c r="CH46" s="75">
        <f t="shared" si="19"/>
        <v>0</v>
      </c>
      <c r="CI46" s="75">
        <f t="shared" si="19"/>
        <v>0</v>
      </c>
      <c r="CJ46" s="75">
        <f t="shared" si="19"/>
        <v>0</v>
      </c>
      <c r="CK46" s="75">
        <f t="shared" si="19"/>
        <v>0</v>
      </c>
      <c r="CL46" s="75">
        <f t="shared" si="19"/>
        <v>0</v>
      </c>
      <c r="CM46" s="75">
        <f t="shared" si="19"/>
        <v>0</v>
      </c>
      <c r="CN46" s="75">
        <f t="shared" si="19"/>
        <v>0</v>
      </c>
      <c r="CO46" s="75">
        <f t="shared" si="19"/>
        <v>0</v>
      </c>
      <c r="CP46" s="75">
        <f t="shared" si="19"/>
        <v>0</v>
      </c>
      <c r="CQ46" s="75">
        <f t="shared" si="19"/>
        <v>0</v>
      </c>
      <c r="CR46" s="75">
        <f t="shared" si="19"/>
        <v>0</v>
      </c>
      <c r="CS46" s="75">
        <f t="shared" si="19"/>
        <v>0</v>
      </c>
      <c r="CT46" s="75">
        <f t="shared" si="19"/>
        <v>0</v>
      </c>
      <c r="CU46" s="75">
        <f t="shared" si="19"/>
        <v>0</v>
      </c>
      <c r="CV46" s="75">
        <f t="shared" si="19"/>
        <v>0</v>
      </c>
      <c r="CW46" s="75">
        <f t="shared" si="19"/>
        <v>0</v>
      </c>
      <c r="CX46" s="75">
        <f t="shared" si="19"/>
        <v>0</v>
      </c>
      <c r="CY46" s="75">
        <f t="shared" si="19"/>
        <v>0</v>
      </c>
      <c r="CZ46" s="75">
        <f t="shared" si="19"/>
        <v>0</v>
      </c>
      <c r="DA46" s="75">
        <f t="shared" si="19"/>
        <v>0</v>
      </c>
      <c r="DB46" s="75">
        <f t="shared" si="19"/>
        <v>0</v>
      </c>
      <c r="DC46" s="75">
        <f t="shared" si="19"/>
        <v>0</v>
      </c>
      <c r="DD46" s="75">
        <f t="shared" si="19"/>
        <v>0</v>
      </c>
      <c r="DE46" s="75">
        <f t="shared" si="19"/>
        <v>0</v>
      </c>
      <c r="DF46" s="75">
        <f t="shared" si="19"/>
        <v>0</v>
      </c>
      <c r="DG46" s="75">
        <f t="shared" si="19"/>
        <v>0</v>
      </c>
      <c r="DH46" s="75">
        <f t="shared" si="19"/>
        <v>0</v>
      </c>
      <c r="DI46" s="75">
        <f t="shared" si="19"/>
        <v>0</v>
      </c>
      <c r="DJ46" s="75">
        <f t="shared" si="19"/>
        <v>0</v>
      </c>
      <c r="DK46" s="75">
        <f t="shared" si="19"/>
        <v>0</v>
      </c>
      <c r="DL46" s="75">
        <f t="shared" si="19"/>
        <v>0</v>
      </c>
      <c r="DM46" s="75">
        <f t="shared" si="19"/>
        <v>0</v>
      </c>
      <c r="DN46" s="75">
        <f t="shared" si="19"/>
        <v>0</v>
      </c>
      <c r="DO46" s="75">
        <f t="shared" si="19"/>
        <v>0</v>
      </c>
      <c r="DP46" s="75">
        <f t="shared" si="19"/>
        <v>0</v>
      </c>
      <c r="DQ46" s="75">
        <f t="shared" si="19"/>
        <v>0</v>
      </c>
      <c r="DR46" s="75">
        <f t="shared" si="19"/>
        <v>0</v>
      </c>
      <c r="DS46" s="75">
        <f t="shared" si="19"/>
        <v>0</v>
      </c>
      <c r="DT46" s="75">
        <f t="shared" si="19"/>
        <v>0</v>
      </c>
      <c r="DU46" s="75">
        <f t="shared" si="19"/>
        <v>0</v>
      </c>
      <c r="DV46" s="75">
        <f t="shared" si="19"/>
        <v>0</v>
      </c>
    </row>
    <row r="47" spans="1:126" ht="21.75" customHeight="1" thickTop="1" x14ac:dyDescent="0.2">
      <c r="BT47" s="76" t="s">
        <v>166</v>
      </c>
      <c r="BU47" s="77">
        <f>INT(SUMPRODUCT(1/SUBSTITUTE(COUNTIFS(N9:N38,"ア 幼稚園",Q9:Q38,Q9:Q38),0,31)))</f>
        <v>0</v>
      </c>
      <c r="BV47" s="77">
        <f>COUNTIF($N$9:$N$38,"ア 幼稚園")</f>
        <v>0</v>
      </c>
      <c r="BW47" s="77">
        <f>COUNTIFS(N9:N38,"ア 幼稚園",O9:O38,"ア ２０歳代")</f>
        <v>0</v>
      </c>
      <c r="BX47" s="77">
        <f>COUNTIFS(N9:N38,"ア 幼稚園",O9:O38,"イ ３０歳代")</f>
        <v>0</v>
      </c>
      <c r="BY47" s="77">
        <f>COUNTIFS(N9:N38,"ア 幼稚園",O9:O38,"ウ ４０歳代")</f>
        <v>0</v>
      </c>
      <c r="BZ47" s="77">
        <f>COUNTIFS(N9:N38,"ア 幼稚園",O9:O38,"エ ５０歳代")</f>
        <v>0</v>
      </c>
      <c r="CA47" s="77">
        <f>COUNTIFS(N9:N38,"ア 幼稚園",O9:O38,"オ ６０歳代以上")</f>
        <v>0</v>
      </c>
      <c r="CB47" s="77">
        <f>COUNTIFS($N$9:$N$38,"ア 幼稚園",$P$9:$P$38,"ア 男性")</f>
        <v>0</v>
      </c>
      <c r="CC47" s="77">
        <f>COUNTIFS($N$9:$N$38,"ア 幼稚園",$P$9:$P$38,"イ 女性")</f>
        <v>0</v>
      </c>
      <c r="CD47" s="77">
        <f>COUNTIFS($N$9:$N$38,"ア 幼稚園",$BO$9:$BO$38,"ア 授業中・保育中")</f>
        <v>0</v>
      </c>
      <c r="CE47" s="77">
        <f>COUNTIFS($N$9:$N$38,"ア 幼稚園",$BO$9:$BO$38,"イ 放課後")</f>
        <v>0</v>
      </c>
      <c r="CF47" s="77">
        <f>COUNTIFS($N$9:$N$38,"ア 幼稚園",$BO$9:$BO$38,"ウ 休み時間")</f>
        <v>0</v>
      </c>
      <c r="CG47" s="77">
        <f>COUNTIFS($N$9:$N$38,"ア 幼稚園",$BO$9:$BO$38,"エ 部活動")</f>
        <v>0</v>
      </c>
      <c r="CH47" s="77">
        <f>COUNTIFS($N$9:$N$38,"ア 幼稚園",$BO$9:$BO$38,"オ 学校行事")</f>
        <v>0</v>
      </c>
      <c r="CI47" s="77">
        <f>COUNTIFS($N$9:$N$38,"ア 幼稚園",$BO$9:$BO$38,"カ ホームルーム")</f>
        <v>0</v>
      </c>
      <c r="CJ47" s="77">
        <f>COUNTIFS($N$9:$N$38,"ア 幼稚園",$BO$9:$BO$38,"キ その他")</f>
        <v>0</v>
      </c>
      <c r="CK47" s="77">
        <f>COUNTIFS($N$9:$N$38,"ア 幼稚園",$BP$9:$BP$38,"ア 教室・保育室")</f>
        <v>0</v>
      </c>
      <c r="CL47" s="77">
        <f>COUNTIFS($N$9:$N$38,"ア 幼稚園",$BP$9:$BP$38,"イ 職員室")</f>
        <v>0</v>
      </c>
      <c r="CM47" s="77">
        <f>COUNTIFS($N$9:$N$38,"ア 幼稚園",$BP$9:$BP$38,"ウ 運動場・園庭、体育館・遊戯室")</f>
        <v>0</v>
      </c>
      <c r="CN47" s="77">
        <f>COUNTIFS($N$9:$N$38,"ア 幼稚園",$BP$9:$BP$38,"エ 生徒指導室")</f>
        <v>0</v>
      </c>
      <c r="CO47" s="77">
        <f>COUNTIFS($N$9:$N$38,"ア 幼稚園",$BP$9:$BP$38,"オ 廊下、階段")</f>
        <v>0</v>
      </c>
      <c r="CP47" s="77">
        <f>COUNTIFS($N$9:$N$38,"ア 幼稚園",$BP$9:$BP$38,"カ その他")</f>
        <v>0</v>
      </c>
      <c r="CQ47" s="77">
        <f>COUNTIFS($N$9:$N$38,"ア 幼稚園",$BQ$9:$BQ$38,"ア 素手で殴る・叩く")</f>
        <v>0</v>
      </c>
      <c r="CR47" s="77">
        <f>COUNTIFS($N$9:$N$38,"ア 幼稚園",$BQ$9:$BQ$38,"イ 棒などで殴る・叩く")</f>
        <v>0</v>
      </c>
      <c r="CS47" s="77">
        <f>COUNTIFS($N$9:$N$38,"ア 幼稚園",$BQ$9:$BQ$38,"ウ 蹴る・踏みつける")</f>
        <v>0</v>
      </c>
      <c r="CT47" s="77">
        <f>COUNTIFS($N$9:$N$38,"ア 幼稚園",$BQ$9:$BQ$38,"エ 投げる・突き飛ばす・転倒させる")</f>
        <v>0</v>
      </c>
      <c r="CU47" s="77">
        <f>COUNTIFS($N$9:$N$38,"ア 幼稚園",$BQ$9:$BQ$38,"オ つねる・ひっかく")</f>
        <v>0</v>
      </c>
      <c r="CV47" s="77">
        <f>COUNTIFS($N$9:$N$38,"ア 幼稚園",$BQ$9:$BQ$38,"カ 物をぶつける・投げつける")</f>
        <v>0</v>
      </c>
      <c r="CW47" s="77">
        <f>COUNTIFS($N$9:$N$38,"ア 幼稚園",$BQ$9:$BQ$38,"キ 長時間教室等に留め置く")</f>
        <v>0</v>
      </c>
      <c r="CX47" s="77">
        <f>COUNTIFS($N$9:$N$38,"ア 幼稚園",$BQ$9:$BQ$38,"ク 長時間正座など一定の姿勢を保持させる")</f>
        <v>0</v>
      </c>
      <c r="CY47" s="77">
        <f>COUNTIFS($N$9:$N$38,"ア 幼稚園",$BQ$9:$BQ$38,"ケ その他")</f>
        <v>0</v>
      </c>
      <c r="CZ47" s="77">
        <f>COUNTIFS($N$9:$N$38,"ア 幼稚園",$BR$9:$BR$38,"ア 死亡")</f>
        <v>0</v>
      </c>
      <c r="DA47" s="77">
        <f>COUNTIFS($N$9:$N$38,"ア 幼稚園",$BR$9:$BR$38,"イ 骨折・挫折など")</f>
        <v>0</v>
      </c>
      <c r="DB47" s="77">
        <f>COUNTIFS($N$9:$N$38,"ア 幼稚園",$BR$9:$BR$38,"ウ 鼓膜損傷")</f>
        <v>0</v>
      </c>
      <c r="DC47" s="77">
        <f>COUNTIFS($N$9:$N$38,"ア 幼稚園",$BR$9:$BR$38,"エ 外傷")</f>
        <v>0</v>
      </c>
      <c r="DD47" s="77">
        <f>COUNTIFS($N$9:$N$38,"ア 幼稚園",$BR$9:$BR$38,"オ 打撲（頭）")</f>
        <v>0</v>
      </c>
      <c r="DE47" s="77">
        <f>COUNTIFS($N$9:$N$38,"ア 幼稚園",$BR$9:$BR$38,"カ 打撲（顔）")</f>
        <v>0</v>
      </c>
      <c r="DF47" s="77">
        <f>COUNTIFS($N$9:$N$38,"ア 幼稚園",$BR$9:$BR$38,"キ 打撲（足）")</f>
        <v>0</v>
      </c>
      <c r="DG47" s="77">
        <f>COUNTIFS($N$9:$N$38,"ア 幼稚園",$BR$9:$BR$38,"ク 打撲（オ～キ以外）")</f>
        <v>0</v>
      </c>
      <c r="DH47" s="77">
        <f>COUNTIFS($N$9:$N$38,"ア 幼稚園",$BR$9:$BR$38,"ケ 鼻血")</f>
        <v>0</v>
      </c>
      <c r="DI47" s="77">
        <f>COUNTIFS($N$9:$N$38,"ア 幼稚園",$BR$9:$BR$38,"コ 髪を切られる")</f>
        <v>0</v>
      </c>
      <c r="DJ47" s="77">
        <f>COUNTIFS($N$9:$N$38,"ア 幼稚園",$BR$9:$BR$38,"サ その他")</f>
        <v>0</v>
      </c>
      <c r="DK47" s="77">
        <f>COUNTIFS($N$9:$N$38,"ア 幼稚園",$BR$9:$BR$38,"シ 傷害なし")</f>
        <v>0</v>
      </c>
      <c r="DL47" s="77">
        <f>COUNTIFS($N$9:$N$38,"ア 幼稚園",$BS$9:$BS$38,1)</f>
        <v>0</v>
      </c>
      <c r="DM47" s="77">
        <f>COUNTIFS($N$9:$N$38,"ア 幼稚園",$BT$9:$BT$38,1)</f>
        <v>0</v>
      </c>
      <c r="DN47" s="77">
        <f>COUNTIFS($N$9:$N$38,"ア 幼稚園",$BU$9:$BU$38,1)</f>
        <v>0</v>
      </c>
      <c r="DO47" s="77">
        <f>COUNTIFS($N$9:$N$38,"ア 幼稚園",$BV$9:$BV$38,1)</f>
        <v>0</v>
      </c>
      <c r="DP47" s="77">
        <f>COUNTIFS($N$9:$N$38,"ア 幼稚園",$BW$9:$BW$38,1)</f>
        <v>0</v>
      </c>
      <c r="DQ47" s="77">
        <f>COUNTIFS($N$9:$N$38,"ア 幼稚園",$BX$9:$BX$38,1)</f>
        <v>0</v>
      </c>
      <c r="DR47" s="77">
        <f>COUNTIFS($N$9:$N$38,"ア 幼稚園",$BY$9:$BY$38,1)</f>
        <v>0</v>
      </c>
      <c r="DS47" s="77">
        <f>COUNTIFS($N$9:$N$38,"ア 幼稚園",$BZ$9:$BZ$38,1)</f>
        <v>0</v>
      </c>
      <c r="DT47" s="77">
        <f>COUNTIFS($N$9:$N$38,"ア 幼稚園",$CA$9:$CA$38,1)</f>
        <v>0</v>
      </c>
      <c r="DU47" s="77">
        <f>COUNTIFS($N$9:$N$38,"ア 幼稚園",$CB$9:$CB$38,1)</f>
        <v>0</v>
      </c>
      <c r="DV47" s="77">
        <f>COUNTIFS($N$9:$N$38,"ア 幼稚園",$CC$9:$CC$38,1)</f>
        <v>0</v>
      </c>
    </row>
    <row r="48" spans="1:126" ht="21.75" customHeight="1" x14ac:dyDescent="0.2">
      <c r="BT48" s="63" t="s">
        <v>71</v>
      </c>
      <c r="BU48" s="65">
        <f>INT(SUMPRODUCT(1/SUBSTITUTE(COUNTIFS(N9:N38,"イ 小学校",Q9:Q38,Q9:Q38),0,31)))</f>
        <v>0</v>
      </c>
      <c r="BV48" s="65">
        <f>COUNTIF($N$9:$N$38,"イ 小学校")</f>
        <v>0</v>
      </c>
      <c r="BW48" s="65">
        <f>COUNTIFS(N9:N38,"イ 小学校",O9:O38,"ア ２０歳代")</f>
        <v>0</v>
      </c>
      <c r="BX48" s="65">
        <f>COUNTIFS(N9:N38,"イ 小学校",O9:O38,"イ ３０歳代")</f>
        <v>0</v>
      </c>
      <c r="BY48" s="65">
        <f>COUNTIFS(N9:N38,"イ 小学校",O9:O38,"ウ ４０歳代")</f>
        <v>0</v>
      </c>
      <c r="BZ48" s="65">
        <f>COUNTIFS(N9:N38,"イ 小学校",O9:O38,"エ ５０歳代")</f>
        <v>0</v>
      </c>
      <c r="CA48" s="65">
        <f>COUNTIFS(N9:N38,"イ 小学校",O9:O38,"オ ６０歳代以上")</f>
        <v>0</v>
      </c>
      <c r="CB48" s="65">
        <f>COUNTIFS($N$9:$N$38,"イ 小学校",$P$9:$P$38,"ア 男性")</f>
        <v>0</v>
      </c>
      <c r="CC48" s="65">
        <f>COUNTIFS($N$9:$N$38,"イ 小学校",$P$9:$P$38,"イ 女性")</f>
        <v>0</v>
      </c>
      <c r="CD48" s="66">
        <f>COUNTIFS($N$9:$N$38,"イ 小学校",$BO$9:$BO$38,"ア 授業中・保育中")</f>
        <v>0</v>
      </c>
      <c r="CE48" s="66">
        <f>COUNTIFS($N$9:$N$38,"イ 小学校",$BO$9:$BO$38,"イ 放課後")</f>
        <v>0</v>
      </c>
      <c r="CF48" s="66">
        <f>COUNTIFS($N$9:$N$38,"イ 小学校",$BO$9:$BO$38,"ウ 休み時間")</f>
        <v>0</v>
      </c>
      <c r="CG48" s="66">
        <f>COUNTIFS($N$9:$N$38,"イ 小学校",$BO$9:$BO$38,"エ 部活動")</f>
        <v>0</v>
      </c>
      <c r="CH48" s="66">
        <f>COUNTIFS($N$9:$N$38,"イ 小学校",$BO$9:$BO$38,"オ 学校行事")</f>
        <v>0</v>
      </c>
      <c r="CI48" s="66">
        <f>COUNTIFS($N$9:$N$38,"イ 小学校",$BO$9:$BO$38,"カ ホームルーム")</f>
        <v>0</v>
      </c>
      <c r="CJ48" s="66">
        <f>COUNTIFS($N$9:$N$38,"イ 小学校",$BO$9:$BO$38,"キ その他")</f>
        <v>0</v>
      </c>
      <c r="CK48" s="66">
        <f>COUNTIFS($N$9:$N$38,"イ 小学校",$BP$9:$BP$38,"ア 教室・保育室")</f>
        <v>0</v>
      </c>
      <c r="CL48" s="66">
        <f>COUNTIFS($N$9:$N$38,"イ 小学校",$BP$9:$BP$38,"イ 職員室")</f>
        <v>0</v>
      </c>
      <c r="CM48" s="66">
        <f>COUNTIFS($N$9:$N$38,"イ 小学校",$BP$9:$BP$38,"ウ 運動場・園庭、体育館・遊戯室")</f>
        <v>0</v>
      </c>
      <c r="CN48" s="66">
        <f>COUNTIFS($N$9:$N$38,"イ 小学校",$BP$9:$BP$38,"エ 生徒指導室")</f>
        <v>0</v>
      </c>
      <c r="CO48" s="66">
        <f>COUNTIFS($N$9:$N$38,"イ 小学校",$BP$9:$BP$38,"オ 廊下、階段")</f>
        <v>0</v>
      </c>
      <c r="CP48" s="66">
        <f>COUNTIFS($N$9:$N$38,"イ 小学校",$BP$9:$BP$38,"カ その他")</f>
        <v>0</v>
      </c>
      <c r="CQ48" s="66">
        <f>COUNTIFS($N$9:$N$38,"イ 小学校",$BQ$9:$BQ$38,"ア 素手で殴る・叩く")</f>
        <v>0</v>
      </c>
      <c r="CR48" s="66">
        <f>COUNTIFS($N$9:$N$38,"イ 小学校",$BQ$9:$BQ$38,"イ 棒などで殴る・叩く")</f>
        <v>0</v>
      </c>
      <c r="CS48" s="66">
        <f>COUNTIFS($N$9:$N$38,"イ 小学校",$BQ$9:$BQ$38,"ウ 蹴る・踏みつける")</f>
        <v>0</v>
      </c>
      <c r="CT48" s="66">
        <f>COUNTIFS($N$9:$N$38,"イ 小学校",$BQ$9:$BQ$38,"エ 投げる・突き飛ばす・転倒させる")</f>
        <v>0</v>
      </c>
      <c r="CU48" s="66">
        <f>COUNTIFS($N$9:$N$38,"イ 小学校",$BQ$9:$BQ$38,"オ つねる・ひっかく")</f>
        <v>0</v>
      </c>
      <c r="CV48" s="66">
        <f>COUNTIFS($N$9:$N$38,"イ 小学校",$BQ$9:$BQ$38,"カ 物をぶつける・投げつける")</f>
        <v>0</v>
      </c>
      <c r="CW48" s="66">
        <f>COUNTIFS($N$9:$N$38,"イ 小学校",$BQ$9:$BQ$38,"キ 長時間教室等に留め置く")</f>
        <v>0</v>
      </c>
      <c r="CX48" s="66">
        <f>COUNTIFS($N$9:$N$38,"イ 小学校",$BQ$9:$BQ$38,"ク 長時間正座など一定の姿勢を保持させる")</f>
        <v>0</v>
      </c>
      <c r="CY48" s="66">
        <f>COUNTIFS($N$9:$N$38,"イ 小学校",$BQ$9:$BQ$38,"ケ その他")</f>
        <v>0</v>
      </c>
      <c r="CZ48" s="66">
        <f>COUNTIFS($N$9:$N$38,"イ 小学校",$BR$9:$BR$38,"ア 死亡")</f>
        <v>0</v>
      </c>
      <c r="DA48" s="66">
        <f>COUNTIFS($N$9:$N$38,"イ 小学校",$BR$9:$BR$38,"イ 骨折・挫折など")</f>
        <v>0</v>
      </c>
      <c r="DB48" s="66">
        <f>COUNTIFS($N$9:$N$38,"イ 小学校",$BR$9:$BR$38,"ウ 鼓膜損傷")</f>
        <v>0</v>
      </c>
      <c r="DC48" s="66">
        <f>COUNTIFS($N$9:$N$38,"イ 小学校",$BR$9:$BR$38,"エ 外傷")</f>
        <v>0</v>
      </c>
      <c r="DD48" s="66">
        <f>COUNTIFS($N$9:$N$38,"イ 小学校",$BR$9:$BR$38,"オ 打撲（頭）")</f>
        <v>0</v>
      </c>
      <c r="DE48" s="66">
        <f>COUNTIFS($N$9:$N$38,"イ 小学校",$BR$9:$BR$38,"カ 打撲（顔）")</f>
        <v>0</v>
      </c>
      <c r="DF48" s="66">
        <f>COUNTIFS($N$9:$N$38,"イ 小学校",$BR$9:$BR$38,"キ 打撲（足）")</f>
        <v>0</v>
      </c>
      <c r="DG48" s="66">
        <f>COUNTIFS($N$9:$N$38,"イ 小学校",$BR$9:$BR$38,"ク 打撲（オ～キ以外）")</f>
        <v>0</v>
      </c>
      <c r="DH48" s="66">
        <f>COUNTIFS($N$9:$N$38,"イ 小学校",$BR$9:$BR$38,"ケ 鼻血")</f>
        <v>0</v>
      </c>
      <c r="DI48" s="66">
        <f>COUNTIFS($N$9:$N$38,"イ 小学校",$BR$9:$BR$38,"コ 髪を切られる")</f>
        <v>0</v>
      </c>
      <c r="DJ48" s="66">
        <f>COUNTIFS($N$9:$N$38,"イ 小学校",$BR$9:$BR$38,"サ その他")</f>
        <v>0</v>
      </c>
      <c r="DK48" s="66">
        <f>COUNTIFS($N$9:$N$38,"イ 小学校",$BR$9:$BR$38,"シ 傷害なし")</f>
        <v>0</v>
      </c>
      <c r="DL48" s="65">
        <f>COUNTIFS($N$9:$N$38,"イ 小学校",$BS$9:$BS$38,1)</f>
        <v>0</v>
      </c>
      <c r="DM48" s="65">
        <f>COUNTIFS($N$9:$N$38,"イ 小学校",$BT$9:$BT$38,1)</f>
        <v>0</v>
      </c>
      <c r="DN48" s="65">
        <f>COUNTIFS($N$9:$N$38,"イ 小学校",$BU$9:$BU$38,1)</f>
        <v>0</v>
      </c>
      <c r="DO48" s="65">
        <f>COUNTIFS($N$9:$N$38,"イ 小学校",$BV$9:$BV$38,1)</f>
        <v>0</v>
      </c>
      <c r="DP48" s="65">
        <f>COUNTIFS($N$9:$N$38,"イ 小学校",$BW$9:$BW$38,1)</f>
        <v>0</v>
      </c>
      <c r="DQ48" s="65">
        <f>COUNTIFS($N$9:$N$38,"イ 小学校",$BX$9:$BX$38,1)</f>
        <v>0</v>
      </c>
      <c r="DR48" s="65">
        <f>COUNTIFS($N$9:$N$38,"イ 小学校",$BY$9:$BY$38,1)</f>
        <v>0</v>
      </c>
      <c r="DS48" s="65">
        <f>COUNTIFS($N$9:$N$38,"イ 小学校",$BZ$9:$BZ$38,1)</f>
        <v>0</v>
      </c>
      <c r="DT48" s="65">
        <f>COUNTIFS($N$9:$N$38,"イ 小学校",$CA$9:$CA$38,1)</f>
        <v>0</v>
      </c>
      <c r="DU48" s="65">
        <f>COUNTIFS($N$9:$N$38,"イ 小学校",$CB$9:$CB$38,1)</f>
        <v>0</v>
      </c>
      <c r="DV48" s="65">
        <f>COUNTIFS($N$9:$N$38,"イ 小学校",$CC$9:$CC$38,1)</f>
        <v>0</v>
      </c>
    </row>
    <row r="49" spans="72:126" ht="21.75" customHeight="1" x14ac:dyDescent="0.2">
      <c r="BT49" s="63" t="s">
        <v>72</v>
      </c>
      <c r="BU49" s="65">
        <f>INT(SUMPRODUCT(1/SUBSTITUTE(COUNTIFS(N9:N38,"ウ 中学校",Q9:Q38,Q9:Q38),0,31)))</f>
        <v>0</v>
      </c>
      <c r="BV49" s="65">
        <f>COUNTIF($N$9:$N$38,"ウ 中学校")</f>
        <v>0</v>
      </c>
      <c r="BW49" s="65">
        <f>COUNTIFS(N9:N38,"ウ 中学校",O9:O38,"ア ２０歳代")</f>
        <v>0</v>
      </c>
      <c r="BX49" s="65">
        <f>COUNTIFS(N9:N38,"ウ 中学校",O9:O38,"イ ３０歳代")</f>
        <v>0</v>
      </c>
      <c r="BY49" s="65">
        <f>COUNTIFS(N9:N38,"ウ 中学校",O9:O38,"ウ ４０歳代")</f>
        <v>0</v>
      </c>
      <c r="BZ49" s="65">
        <f>COUNTIFS(N9:N38,"ウ 中学校",O9:O38,"エ ５０歳代")</f>
        <v>0</v>
      </c>
      <c r="CA49" s="65">
        <f>COUNTIFS(N9:N38,"ウ 中学校",O9:O38,"オ ６０歳代以上")</f>
        <v>0</v>
      </c>
      <c r="CB49" s="65">
        <f>COUNTIFS($N$9:$N$38,"ウ 中学校",$P$9:$P$38,"ア 男性")</f>
        <v>0</v>
      </c>
      <c r="CC49" s="65">
        <f>COUNTIFS($N$9:$N$38,"ウ 中学校",$P$9:$P$38,"イ 女性")</f>
        <v>0</v>
      </c>
      <c r="CD49" s="66">
        <f>COUNTIFS($N$9:$N$38,"ウ 中学校",$BO$9:$BO$38,"ア 授業中・保育中")</f>
        <v>0</v>
      </c>
      <c r="CE49" s="66">
        <f>COUNTIFS($N$9:$N$38,"ウ 中学校",$BO$9:$BO$38,"イ 放課後")</f>
        <v>0</v>
      </c>
      <c r="CF49" s="66">
        <f>COUNTIFS($N$9:$N$38,"ウ 中学校",$BO$9:$BO$38,"ウ 休み時間")</f>
        <v>0</v>
      </c>
      <c r="CG49" s="66">
        <f>COUNTIFS($N$9:$N$38,"ウ 中学校",$BO$9:$BO$38,"エ 部活動")</f>
        <v>0</v>
      </c>
      <c r="CH49" s="66">
        <f>COUNTIFS($N$9:$N$38,"ウ 中学校",$BO$9:$BO$38,"オ 学校行事")</f>
        <v>0</v>
      </c>
      <c r="CI49" s="66">
        <f>COUNTIFS($N$9:$N$38,"ウ 中学校",$BO$9:$BO$38,"カ ホームルーム")</f>
        <v>0</v>
      </c>
      <c r="CJ49" s="66">
        <f>COUNTIFS($N$9:$N$38,"ウ 中学校",$BO$9:$BO$38,"キ その他")</f>
        <v>0</v>
      </c>
      <c r="CK49" s="66">
        <f>COUNTIFS($N$9:$N$38,"ウ 中学校",$BP$9:$BP$38,"ア 教室・保育室")</f>
        <v>0</v>
      </c>
      <c r="CL49" s="66">
        <f>COUNTIFS($N$9:$N$38,"ウ 中学校",$BP$9:$BP$38,"イ 職員室")</f>
        <v>0</v>
      </c>
      <c r="CM49" s="66">
        <f>COUNTIFS($N$9:$N$38,"ウ 中学校",$BP$9:$BP$38,"ウ 運動場・園庭、体育館・遊戯室")</f>
        <v>0</v>
      </c>
      <c r="CN49" s="66">
        <f>COUNTIFS($N$9:$N$38,"ウ 中学校",$BP$9:$BP$38,"エ 生徒指導室")</f>
        <v>0</v>
      </c>
      <c r="CO49" s="66">
        <f>COUNTIFS($N$9:$N$38,"ウ 中学校",$BP$9:$BP$38,"オ 廊下、階段")</f>
        <v>0</v>
      </c>
      <c r="CP49" s="66">
        <f>COUNTIFS($N$9:$N$38,"ウ 中学校",$BP$9:$BP$38,"カ その他")</f>
        <v>0</v>
      </c>
      <c r="CQ49" s="66">
        <f>COUNTIFS($N$9:$N$38,"ウ 中学校",$BQ$9:$BQ$38,"ア 素手で殴る・叩く")</f>
        <v>0</v>
      </c>
      <c r="CR49" s="66">
        <f>COUNTIFS($N$9:$N$38,"ウ 中学校",$BQ$9:$BQ$38,"イ 棒などで殴る・叩く")</f>
        <v>0</v>
      </c>
      <c r="CS49" s="66">
        <f>COUNTIFS($N$9:$N$38,"ウ 中学校",$BQ$9:$BQ$38,"ウ 蹴る・踏みつける")</f>
        <v>0</v>
      </c>
      <c r="CT49" s="66">
        <f>COUNTIFS($N$9:$N$38,"ウ 中学校",$BQ$9:$BQ$38,"エ 投げる・突き飛ばす・転倒させる")</f>
        <v>0</v>
      </c>
      <c r="CU49" s="66">
        <f>COUNTIFS($N$9:$N$38,"ウ 中学校",$BQ$9:$BQ$38,"オ つねる・ひっかく")</f>
        <v>0</v>
      </c>
      <c r="CV49" s="66">
        <f>COUNTIFS($N$9:$N$38,"ウ 中学校",$BQ$9:$BQ$38,"カ 物をぶつける・投げつける")</f>
        <v>0</v>
      </c>
      <c r="CW49" s="66">
        <f>COUNTIFS($N$9:$N$38,"ウ 中学校",$BQ$9:$BQ$38,"キ 長時間教室等に留め置く")</f>
        <v>0</v>
      </c>
      <c r="CX49" s="66">
        <f>COUNTIFS($N$9:$N$38,"ウ 中学校",$BQ$9:$BQ$38,"ク 長時間正座など一定の姿勢を保持させる")</f>
        <v>0</v>
      </c>
      <c r="CY49" s="66">
        <f>COUNTIFS($N$9:$N$38,"ウ 中学校",$BQ$9:$BQ$38,"ケ その他")</f>
        <v>0</v>
      </c>
      <c r="CZ49" s="66">
        <f>COUNTIFS($N$9:$N$38,"ウ 中学校",$BR$9:$BR$38,"ア 死亡")</f>
        <v>0</v>
      </c>
      <c r="DA49" s="66">
        <f>COUNTIFS($N$9:$N$38,"ウ 中学校",$BR$9:$BR$38,"イ 骨折・挫折など")</f>
        <v>0</v>
      </c>
      <c r="DB49" s="66">
        <f>COUNTIFS($N$9:$N$38,"ウ 中学校",$BR$9:$BR$38,"ウ 鼓膜損傷")</f>
        <v>0</v>
      </c>
      <c r="DC49" s="66">
        <f>COUNTIFS($N$9:$N$38,"ウ 中学校",$BR$9:$BR$38,"エ 外傷")</f>
        <v>0</v>
      </c>
      <c r="DD49" s="66">
        <f>COUNTIFS($N$9:$N$38,"ウ 中学校",$BR$9:$BR$38,"オ 打撲（頭）")</f>
        <v>0</v>
      </c>
      <c r="DE49" s="66">
        <f>COUNTIFS($N$9:$N$38,"ウ 中学校",$BR$9:$BR$38,"カ 打撲（顔）")</f>
        <v>0</v>
      </c>
      <c r="DF49" s="66">
        <f>COUNTIFS($N$9:$N$38,"ウ 中学校",$BR$9:$BR$38,"キ 打撲（足）")</f>
        <v>0</v>
      </c>
      <c r="DG49" s="66">
        <f>COUNTIFS($N$9:$N$38,"ウ 中学校",$BR$9:$BR$38,"ク 打撲（オ～キ以外）")</f>
        <v>0</v>
      </c>
      <c r="DH49" s="66">
        <f>COUNTIFS($N$9:$N$38,"ウ 中学校",$BR$9:$BR$38,"ケ 鼻血")</f>
        <v>0</v>
      </c>
      <c r="DI49" s="66">
        <f>COUNTIFS($N$9:$N$38,"ウ 中学校",$BR$9:$BR$38,"コ 髪を切られる")</f>
        <v>0</v>
      </c>
      <c r="DJ49" s="66">
        <f>COUNTIFS($N$9:$N$38,"ウ 中学校",$BR$9:$BR$38,"サ その他")</f>
        <v>0</v>
      </c>
      <c r="DK49" s="66">
        <f>COUNTIFS($N$9:$N$38,"ウ 中学校",$BR$9:$BR$38,"シ 傷害なし")</f>
        <v>0</v>
      </c>
      <c r="DL49" s="65">
        <f>COUNTIFS($N$9:$N$38,"ウ 中学校",$BS$9:$BS$38,1)</f>
        <v>0</v>
      </c>
      <c r="DM49" s="65">
        <f>COUNTIFS($N$9:$N$38,"ウ 中学校",$BT$9:$BT$38,1)</f>
        <v>0</v>
      </c>
      <c r="DN49" s="65">
        <f>COUNTIFS($N$9:$N$38,"ウ 中学校",$BU$9:$BU$38,1)</f>
        <v>0</v>
      </c>
      <c r="DO49" s="65">
        <f>COUNTIFS($N$9:$N$38,"ウ 中学校",$BV$9:$BV$38,1)</f>
        <v>0</v>
      </c>
      <c r="DP49" s="65">
        <f>COUNTIFS($N$9:$N$38,"ウ 中学校",$BW$9:$BW$38,1)</f>
        <v>0</v>
      </c>
      <c r="DQ49" s="65">
        <f>COUNTIFS($N$9:$N$38,"ウ 中学校",$BX$9:$BX$38,1)</f>
        <v>0</v>
      </c>
      <c r="DR49" s="65">
        <f>COUNTIFS($N$9:$N$38,"ウ 中学校",$BY$9:$BY$38,1)</f>
        <v>0</v>
      </c>
      <c r="DS49" s="65">
        <f>COUNTIFS($N$9:$N$38,"ウ 中学校",$BZ$9:$BZ$38,1)</f>
        <v>0</v>
      </c>
      <c r="DT49" s="65">
        <f>COUNTIFS($N$9:$N$38,"ウ 中学校",$CA$9:$CA$38,1)</f>
        <v>0</v>
      </c>
      <c r="DU49" s="65">
        <f>COUNTIFS($N$9:$N$38,"ウ 中学校",$CB$9:$CB$38,1)</f>
        <v>0</v>
      </c>
      <c r="DV49" s="65">
        <f>COUNTIFS($N$9:$N$38,"ウ 中学校",$CC$9:$CC$38,1)</f>
        <v>0</v>
      </c>
    </row>
    <row r="50" spans="72:126" ht="21.75" customHeight="1" x14ac:dyDescent="0.2">
      <c r="BT50" s="63" t="s">
        <v>73</v>
      </c>
      <c r="BU50" s="65">
        <f>INT(SUMPRODUCT(1/SUBSTITUTE(COUNTIFS(N9:N38,"エ 義務教育学校",Q9:Q38,Q9:Q38),0,31)))</f>
        <v>0</v>
      </c>
      <c r="BV50" s="65">
        <f>COUNTIF($N$9:$N$38,"エ 義務教育学校")</f>
        <v>0</v>
      </c>
      <c r="BW50" s="65">
        <f>COUNTIFS(N9:N38,"エ 義務教育学校",O9:O38,"ア ２０歳代")</f>
        <v>0</v>
      </c>
      <c r="BX50" s="65">
        <f>COUNTIFS(N9:N38,"エ 義務教育学校",O9:O38,"イ ３０歳代")</f>
        <v>0</v>
      </c>
      <c r="BY50" s="65">
        <f>COUNTIFS(N9:N38,"エ 義務教育学校",O9:O38,"ウ ４０歳代")</f>
        <v>0</v>
      </c>
      <c r="BZ50" s="65">
        <f>COUNTIFS(N9:N38,"エ 義務教育学校",O9:O38,"エ ５０歳代")</f>
        <v>0</v>
      </c>
      <c r="CA50" s="65">
        <f>COUNTIFS(N9:N38,"エ 義務教育学校",O9:O38,"オ ６０歳代以上")</f>
        <v>0</v>
      </c>
      <c r="CB50" s="65">
        <f>COUNTIFS($N$9:$N$38,"エ 義務教育学校",$P$9:$P$38,"ア 男性")</f>
        <v>0</v>
      </c>
      <c r="CC50" s="65">
        <f>COUNTIFS($N$9:$N$38,"エ 義務教育学校",$P$9:$P$38,"イ 女性")</f>
        <v>0</v>
      </c>
      <c r="CD50" s="66">
        <f>COUNTIFS($N$9:$N$38,"エ 義務教育学校",$BO$9:$BO$38,"ア 授業中・保育中")</f>
        <v>0</v>
      </c>
      <c r="CE50" s="66">
        <f>COUNTIFS($N$9:$N$38,"エ 義務教育学校",$BO$9:$BO$38,"イ 放課後")</f>
        <v>0</v>
      </c>
      <c r="CF50" s="66">
        <f>COUNTIFS($N$9:$N$38,"エ 義務教育学校",$BO$9:$BO$38,"ウ 休み時間")</f>
        <v>0</v>
      </c>
      <c r="CG50" s="66">
        <f>COUNTIFS($N$9:$N$38,"エ 義務教育学校",$BO$9:$BO$38,"エ 部活動")</f>
        <v>0</v>
      </c>
      <c r="CH50" s="66">
        <f>COUNTIFS($N$9:$N$38,"エ 義務教育学校",$BO$9:$BO$38,"オ 学校行事")</f>
        <v>0</v>
      </c>
      <c r="CI50" s="66">
        <f>COUNTIFS($N$9:$N$38,"エ 義務教育学校",$BO$9:$BO$38,"カ ホームルーム")</f>
        <v>0</v>
      </c>
      <c r="CJ50" s="66">
        <f>COUNTIFS($N$9:$N$38,"エ 義務教育学校",$BO$9:$BO$38,"キ その他")</f>
        <v>0</v>
      </c>
      <c r="CK50" s="66">
        <f>COUNTIFS($N$9:$N$38,"エ 義務教育学校",$BP$9:$BP$38,"ア 教室・保育室")</f>
        <v>0</v>
      </c>
      <c r="CL50" s="66">
        <f>COUNTIFS($N$9:$N$38,"エ 義務教育学校",$BP$9:$BP$38,"イ 職員室")</f>
        <v>0</v>
      </c>
      <c r="CM50" s="66">
        <f>COUNTIFS($N$9:$N$38,"エ 義務教育学校",$BP$9:$BP$38,"ウ 運動場・園庭、体育館・遊戯室")</f>
        <v>0</v>
      </c>
      <c r="CN50" s="66">
        <f>COUNTIFS($N$9:$N$38,"エ 義務教育学校",$BP$9:$BP$38,"エ 生徒指導室")</f>
        <v>0</v>
      </c>
      <c r="CO50" s="66">
        <f>COUNTIFS($N$9:$N$38,"エ 義務教育学校",$BP$9:$BP$38,"オ 廊下、階段")</f>
        <v>0</v>
      </c>
      <c r="CP50" s="66">
        <f>COUNTIFS($N$9:$N$38,"エ 義務教育学校",$BP$9:$BP$38,"カ その他")</f>
        <v>0</v>
      </c>
      <c r="CQ50" s="66">
        <f>COUNTIFS($N$9:$N$38,"エ 義務教育学校",$BQ$9:$BQ$38,"ア 素手で殴る・叩く")</f>
        <v>0</v>
      </c>
      <c r="CR50" s="66">
        <f>COUNTIFS($N$9:$N$38,"エ 義務教育学校",$BQ$9:$BQ$38,"イ 棒などで殴る・叩く")</f>
        <v>0</v>
      </c>
      <c r="CS50" s="66">
        <f>COUNTIFS($N$9:$N$38,"エ 義務教育学校",$BQ$9:$BQ$38,"ウ 蹴る・踏みつける")</f>
        <v>0</v>
      </c>
      <c r="CT50" s="66">
        <f>COUNTIFS($N$9:$N$38,"エ 義務教育学校",$BQ$9:$BQ$38,"エ 投げる・突き飛ばす・転倒させる")</f>
        <v>0</v>
      </c>
      <c r="CU50" s="66">
        <f>COUNTIFS($N$9:$N$38,"エ 義務教育学校",$BQ$9:$BQ$38,"オ つねる・ひっかく")</f>
        <v>0</v>
      </c>
      <c r="CV50" s="66">
        <f>COUNTIFS($N$9:$N$38,"エ 義務教育学校",$BQ$9:$BQ$38,"カ 物をぶつける・投げつける")</f>
        <v>0</v>
      </c>
      <c r="CW50" s="66">
        <f>COUNTIFS($N$9:$N$38,"エ 義務教育学校",$BQ$9:$BQ$38,"キ 長時間教室等に留め置く")</f>
        <v>0</v>
      </c>
      <c r="CX50" s="66">
        <f>COUNTIFS($N$9:$N$38,"エ 義務教育学校",$BQ$9:$BQ$38,"ク 長時間正座など一定の姿勢を保持させる")</f>
        <v>0</v>
      </c>
      <c r="CY50" s="66">
        <f>COUNTIFS($N$9:$N$38,"エ 義務教育学校",$BQ$9:$BQ$38,"ケ その他")</f>
        <v>0</v>
      </c>
      <c r="CZ50" s="66">
        <f>COUNTIFS($N$9:$N$38,"エ 義務教育学校",$BR$9:$BR$38,"ア 死亡")</f>
        <v>0</v>
      </c>
      <c r="DA50" s="66">
        <f>COUNTIFS($N$9:$N$38,"エ 義務教育学校",$BR$9:$BR$38,"イ 骨折・挫折など")</f>
        <v>0</v>
      </c>
      <c r="DB50" s="66">
        <f>COUNTIFS($N$9:$N$38,"エ 義務教育学校",$BR$9:$BR$38,"ウ 鼓膜損傷")</f>
        <v>0</v>
      </c>
      <c r="DC50" s="66">
        <f>COUNTIFS($N$9:$N$38,"エ 義務教育学校",$BR$9:$BR$38,"エ 外傷")</f>
        <v>0</v>
      </c>
      <c r="DD50" s="66">
        <f>COUNTIFS($N$9:$N$38,"エ 義務教育学校",$BR$9:$BR$38,"オ 打撲（頭）")</f>
        <v>0</v>
      </c>
      <c r="DE50" s="66">
        <f>COUNTIFS($N$9:$N$38,"エ 義務教育学校",$BR$9:$BR$38,"カ 打撲（顔）")</f>
        <v>0</v>
      </c>
      <c r="DF50" s="66">
        <f>COUNTIFS($N$9:$N$38,"エ 義務教育学校",$BR$9:$BR$38,"キ 打撲（足）")</f>
        <v>0</v>
      </c>
      <c r="DG50" s="66">
        <f>COUNTIFS($N$9:$N$38,"エ 義務教育学校",$BR$9:$BR$38,"ク 打撲（オ～キ以外）")</f>
        <v>0</v>
      </c>
      <c r="DH50" s="66">
        <f>COUNTIFS($N$9:$N$38,"エ 義務教育学校",$BR$9:$BR$38,"ケ 鼻血")</f>
        <v>0</v>
      </c>
      <c r="DI50" s="66">
        <f>COUNTIFS($N$9:$N$38,"エ 義務教育学校",$BR$9:$BR$38,"コ 髪を切られる")</f>
        <v>0</v>
      </c>
      <c r="DJ50" s="66">
        <f>COUNTIFS($N$9:$N$38,"エ 義務教育学校",$BR$9:$BR$38,"サ その他")</f>
        <v>0</v>
      </c>
      <c r="DK50" s="66">
        <f>COUNTIFS($N$9:$N$38,"エ 義務教育学校",$BR$9:$BR$38,"シ 傷害なし")</f>
        <v>0</v>
      </c>
      <c r="DL50" s="65">
        <f>COUNTIFS($N$9:$N$38,"エ 義務教育学校",$BS$9:$BS$38,1)</f>
        <v>0</v>
      </c>
      <c r="DM50" s="65">
        <f>COUNTIFS($N$9:$N$38,"エ 義務教育学校",$BT$9:$BT$38,1)</f>
        <v>0</v>
      </c>
      <c r="DN50" s="65">
        <f>COUNTIFS($N$9:$N$38,"エ 義務教育学校",$BU$9:$BU$38,1)</f>
        <v>0</v>
      </c>
      <c r="DO50" s="65">
        <f>COUNTIFS($N$9:$N$38,"エ 義務教育学校",$BV$9:$BV$38,1)</f>
        <v>0</v>
      </c>
      <c r="DP50" s="65">
        <f>COUNTIFS($N$9:$N$38,"エ 義務教育学校",$BW$9:$BW$38,1)</f>
        <v>0</v>
      </c>
      <c r="DQ50" s="65">
        <f>COUNTIFS($N$9:$N$38,"エ 義務教育学校",$BX$9:$BX$38,1)</f>
        <v>0</v>
      </c>
      <c r="DR50" s="65">
        <f>COUNTIFS($N$9:$N$38,"エ 義務教育学校",$BY$9:$BY$38,1)</f>
        <v>0</v>
      </c>
      <c r="DS50" s="65">
        <f>COUNTIFS($N$9:$N$38,"エ 義務教育学校",$BZ$9:$BZ$38,1)</f>
        <v>0</v>
      </c>
      <c r="DT50" s="65">
        <f>COUNTIFS($N$9:$N$38,"エ 義務教育学校",$CA$9:$CA$38,1)</f>
        <v>0</v>
      </c>
      <c r="DU50" s="65">
        <f>COUNTIFS($N$9:$N$38,"エ 義務教育学校",$CB$9:$CB$38,1)</f>
        <v>0</v>
      </c>
      <c r="DV50" s="65">
        <f>COUNTIFS($N$9:$N$38,"エ 義務教育学校",$CC$9:$CC$38,1)</f>
        <v>0</v>
      </c>
    </row>
    <row r="51" spans="72:126" ht="21.75" customHeight="1" x14ac:dyDescent="0.2">
      <c r="BT51" s="63" t="s">
        <v>74</v>
      </c>
      <c r="BU51" s="65">
        <f>INT(SUMPRODUCT(1/SUBSTITUTE(COUNTIFS(N9:N38,"オ 高等学校",Q9:Q38,Q9:Q38),0,31)))</f>
        <v>0</v>
      </c>
      <c r="BV51" s="65">
        <f>COUNTIF($N$9:$N$38,"オ 高等学校")</f>
        <v>0</v>
      </c>
      <c r="BW51" s="65">
        <f>COUNTIFS(N9:N38,"オ 高等学校",O9:O38,"ア ２０歳代")</f>
        <v>0</v>
      </c>
      <c r="BX51" s="65">
        <f>COUNTIFS(N9:N38,"オ 高等学校",O9:O38,"イ ３０歳代")</f>
        <v>0</v>
      </c>
      <c r="BY51" s="65">
        <f>COUNTIFS(N9:N38,"オ 高等学校",O9:O38,"ウ ４０歳代")</f>
        <v>0</v>
      </c>
      <c r="BZ51" s="65">
        <f>COUNTIFS(N9:N38,"オ 高等学校",O9:O38,"エ ５０歳代")</f>
        <v>0</v>
      </c>
      <c r="CA51" s="65">
        <f>COUNTIFS(N9:N38,"オ 高等学校",O9:O38,"オ ６０歳代以上")</f>
        <v>0</v>
      </c>
      <c r="CB51" s="65">
        <f>COUNTIFS($N$9:$N$38,"オ 高等学校",$P$9:$P$38,"ア 男性")</f>
        <v>0</v>
      </c>
      <c r="CC51" s="65">
        <f>COUNTIFS($N$9:$N$38,"オ 高等学校",$P$9:$P$38,"イ 女性")</f>
        <v>0</v>
      </c>
      <c r="CD51" s="66">
        <f>COUNTIFS($N$9:$N$38,"オ 高等学校",$BO$9:$BO$38,"ア 授業中・保育中")</f>
        <v>0</v>
      </c>
      <c r="CE51" s="66">
        <f>COUNTIFS($N$9:$N$38,"オ 高等学校",$BO$9:$BO$38,"イ 放課後")</f>
        <v>0</v>
      </c>
      <c r="CF51" s="66">
        <f>COUNTIFS($N$9:$N$38,"オ 高等学校",$BO$9:$BO$38,"ウ 休み時間")</f>
        <v>0</v>
      </c>
      <c r="CG51" s="66">
        <f>COUNTIFS($N$9:$N$38,"オ 高等学校",$BO$9:$BO$38,"エ 部活動")</f>
        <v>0</v>
      </c>
      <c r="CH51" s="66">
        <f>COUNTIFS($N$9:$N$38,"オ 高等学校",$BO$9:$BO$38,"オ 学校行事")</f>
        <v>0</v>
      </c>
      <c r="CI51" s="66">
        <f>COUNTIFS($N$9:$N$38,"オ 高等学校",$BO$9:$BO$38,"カ ホームルーム")</f>
        <v>0</v>
      </c>
      <c r="CJ51" s="66">
        <f>COUNTIFS($N$9:$N$38,"オ 高等学校",$BO$9:$BO$38,"キ その他")</f>
        <v>0</v>
      </c>
      <c r="CK51" s="66">
        <f>COUNTIFS($N$9:$N$38,"オ 高等学校",$BP$9:$BP$38,"ア 教室・保育室")</f>
        <v>0</v>
      </c>
      <c r="CL51" s="66">
        <f>COUNTIFS($N$9:$N$38,"オ 高等学校",$BP$9:$BP$38,"イ 職員室")</f>
        <v>0</v>
      </c>
      <c r="CM51" s="66">
        <f>COUNTIFS($N$9:$N$38,"オ 高等学校",$BP$9:$BP$38,"ウ 運動場・園庭、体育館・遊戯室")</f>
        <v>0</v>
      </c>
      <c r="CN51" s="66">
        <f>COUNTIFS($N$9:$N$38,"オ 高等学校",$BP$9:$BP$38,"エ 生徒指導室")</f>
        <v>0</v>
      </c>
      <c r="CO51" s="66">
        <f>COUNTIFS($N$9:$N$38,"オ 高等学校",$BP$9:$BP$38,"オ 廊下、階段")</f>
        <v>0</v>
      </c>
      <c r="CP51" s="66">
        <f>COUNTIFS($N$9:$N$38,"オ 高等学校",$BP$9:$BP$38,"カ その他")</f>
        <v>0</v>
      </c>
      <c r="CQ51" s="66">
        <f>COUNTIFS($N$9:$N$38,"オ 高等学校",$BQ$9:$BQ$38,"ア 素手で殴る・叩く")</f>
        <v>0</v>
      </c>
      <c r="CR51" s="66">
        <f>COUNTIFS($N$9:$N$38,"オ 高等学校",$BQ$9:$BQ$38,"イ 棒などで殴る・叩く")</f>
        <v>0</v>
      </c>
      <c r="CS51" s="66">
        <f>COUNTIFS($N$9:$N$38,"オ 高等学校",$BQ$9:$BQ$38,"ウ 蹴る・踏みつける")</f>
        <v>0</v>
      </c>
      <c r="CT51" s="66">
        <f>COUNTIFS($N$9:$N$38,"オ 高等学校",$BQ$9:$BQ$38,"エ 投げる・突き飛ばす・転倒させる")</f>
        <v>0</v>
      </c>
      <c r="CU51" s="66">
        <f>COUNTIFS($N$9:$N$38,"オ 高等学校",$BQ$9:$BQ$38,"オ つねる・ひっかく")</f>
        <v>0</v>
      </c>
      <c r="CV51" s="66">
        <f>COUNTIFS($N$9:$N$38,"オ 高等学校",$BQ$9:$BQ$38,"カ 物をぶつける・投げつける")</f>
        <v>0</v>
      </c>
      <c r="CW51" s="66">
        <f>COUNTIFS($N$9:$N$38,"オ 高等学校",$BQ$9:$BQ$38,"キ 長時間教室等に留め置く")</f>
        <v>0</v>
      </c>
      <c r="CX51" s="66">
        <f>COUNTIFS($N$9:$N$38,"オ 高等学校",$BQ$9:$BQ$38,"ク 長時間正座など一定の姿勢を保持させる")</f>
        <v>0</v>
      </c>
      <c r="CY51" s="66">
        <f>COUNTIFS($N$9:$N$38,"オ 高等学校",$BQ$9:$BQ$38,"ケ その他")</f>
        <v>0</v>
      </c>
      <c r="CZ51" s="66">
        <f>COUNTIFS($N$9:$N$38,"オ 高等学校",$BR$9:$BR$38,"ア 死亡")</f>
        <v>0</v>
      </c>
      <c r="DA51" s="66">
        <f>COUNTIFS($N$9:$N$38,"オ 高等学校",$BR$9:$BR$38,"イ 骨折・挫折など")</f>
        <v>0</v>
      </c>
      <c r="DB51" s="66">
        <f>COUNTIFS($N$9:$N$38,"オ 高等学校",$BR$9:$BR$38,"ウ 鼓膜損傷")</f>
        <v>0</v>
      </c>
      <c r="DC51" s="66">
        <f>COUNTIFS($N$9:$N$38,"オ 高等学校",$BR$9:$BR$38,"エ 外傷")</f>
        <v>0</v>
      </c>
      <c r="DD51" s="66">
        <f>COUNTIFS($N$9:$N$38,"オ 高等学校",$BR$9:$BR$38,"オ 打撲（頭）")</f>
        <v>0</v>
      </c>
      <c r="DE51" s="66">
        <f>COUNTIFS($N$9:$N$38,"オ 高等学校",$BR$9:$BR$38,"カ 打撲（顔）")</f>
        <v>0</v>
      </c>
      <c r="DF51" s="66">
        <f>COUNTIFS($N$9:$N$38,"オ 高等学校",$BR$9:$BR$38,"キ 打撲（足）")</f>
        <v>0</v>
      </c>
      <c r="DG51" s="66">
        <f>COUNTIFS($N$9:$N$38,"オ 高等学校",$BR$9:$BR$38,"ク 打撲（オ～キ以外）")</f>
        <v>0</v>
      </c>
      <c r="DH51" s="66">
        <f>COUNTIFS($N$9:$N$38,"オ 高等学校",$BR$9:$BR$38,"ケ 鼻血")</f>
        <v>0</v>
      </c>
      <c r="DI51" s="66">
        <f>COUNTIFS($N$9:$N$38,"オ 高等学校",$BR$9:$BR$38,"コ 髪を切られる")</f>
        <v>0</v>
      </c>
      <c r="DJ51" s="66">
        <f>COUNTIFS($N$9:$N$38,"オ 高等学校",$BR$9:$BR$38,"サ その他")</f>
        <v>0</v>
      </c>
      <c r="DK51" s="66">
        <f>COUNTIFS($N$9:$N$38,"オ 高等学校",$BR$9:$BR$38,"シ 傷害なし")</f>
        <v>0</v>
      </c>
      <c r="DL51" s="65">
        <f>COUNTIFS($N$9:$N$38,"オ 高等学校",$BS$9:$BS$38,1)</f>
        <v>0</v>
      </c>
      <c r="DM51" s="65">
        <f>COUNTIFS($N$9:$N$38,"オ 高等学校",$BT$9:$BT$38,1)</f>
        <v>0</v>
      </c>
      <c r="DN51" s="65">
        <f>COUNTIFS($N$9:$N$38,"オ 高等学校",$BU$9:$BU$38,1)</f>
        <v>0</v>
      </c>
      <c r="DO51" s="65">
        <f>COUNTIFS($N$9:$N$38,"オ 高等学校",$BV$9:$BV$38,1)</f>
        <v>0</v>
      </c>
      <c r="DP51" s="65">
        <f>COUNTIFS($N$9:$N$38,"オ 高等学校",$BW$9:$BW$38,1)</f>
        <v>0</v>
      </c>
      <c r="DQ51" s="65">
        <f>COUNTIFS($N$9:$N$38,"オ 高等学校",$BX$9:$BX$38,1)</f>
        <v>0</v>
      </c>
      <c r="DR51" s="65">
        <f>COUNTIFS($N$9:$N$38,"オ 高等学校",$BY$9:$BY$38,1)</f>
        <v>0</v>
      </c>
      <c r="DS51" s="65">
        <f>COUNTIFS($N$9:$N$38,"オ 高等学校",$BZ$9:$BZ$38,1)</f>
        <v>0</v>
      </c>
      <c r="DT51" s="65">
        <f>COUNTIFS($N$9:$N$38,"オ 高等学校",$CA$9:$CA$38,1)</f>
        <v>0</v>
      </c>
      <c r="DU51" s="65">
        <f>COUNTIFS($N$9:$N$38,"オ 高等学校",$CB$9:$CB$38,1)</f>
        <v>0</v>
      </c>
      <c r="DV51" s="65">
        <f>COUNTIFS($N$9:$N$38,"オ 高等学校",$CC$9:$CC$38,1)</f>
        <v>0</v>
      </c>
    </row>
    <row r="52" spans="72:126" ht="21.75" customHeight="1" x14ac:dyDescent="0.2">
      <c r="BT52" s="63" t="s">
        <v>75</v>
      </c>
      <c r="BU52" s="65">
        <f>INT(SUMPRODUCT(1/SUBSTITUTE(COUNTIFS(N9:N38,"カ 中等教育学校",Q9:Q38,Q9:Q38),0,31)))</f>
        <v>0</v>
      </c>
      <c r="BV52" s="65">
        <f>COUNTIF($N$9:$N$38,"カ 中等教育学校")</f>
        <v>0</v>
      </c>
      <c r="BW52" s="65">
        <f>COUNTIFS(N9:N38,"カ 中等教育学校",O9:O38,"ア ２０歳代")</f>
        <v>0</v>
      </c>
      <c r="BX52" s="65">
        <f>COUNTIFS(N9:N38,"カ 中等教育学校",O9:O38,"イ ３０歳代")</f>
        <v>0</v>
      </c>
      <c r="BY52" s="65">
        <f>COUNTIFS(N9:N38,"カ 中等教育学校",O9:O38,"ウ ４０歳代")</f>
        <v>0</v>
      </c>
      <c r="BZ52" s="65">
        <f>COUNTIFS(N9:N38,"カ 中等教育学校",O9:O38,"エ ５０歳代")</f>
        <v>0</v>
      </c>
      <c r="CA52" s="65">
        <f>COUNTIFS(N9:N38,"カ 中等教育学校",O9:O38,"オ ６０歳代以上")</f>
        <v>0</v>
      </c>
      <c r="CB52" s="65">
        <f>COUNTIFS($N$9:$N$38,"カ 中等教育学校",$P$9:$P$38,"ア 男性")</f>
        <v>0</v>
      </c>
      <c r="CC52" s="65">
        <f>COUNTIFS($N$9:$N$38,"カ 中等教育学校",$P$9:$P$38,"イ 女性")</f>
        <v>0</v>
      </c>
      <c r="CD52" s="66">
        <f>COUNTIFS($N$9:$N$38,"カ 中等教育学校",$BO$9:$BO$38,"ア 授業中・保育中")</f>
        <v>0</v>
      </c>
      <c r="CE52" s="66">
        <f>COUNTIFS($N$9:$N$38,"カ 中等教育学校",$BO$9:$BO$38,"イ 放課後")</f>
        <v>0</v>
      </c>
      <c r="CF52" s="66">
        <f>COUNTIFS($N$9:$N$38,"カ 中等教育学校",$BO$9:$BO$38,"ウ 休み時間")</f>
        <v>0</v>
      </c>
      <c r="CG52" s="66">
        <f>COUNTIFS($N$9:$N$38,"カ 中等教育学校",$BO$9:$BO$38,"エ 部活動")</f>
        <v>0</v>
      </c>
      <c r="CH52" s="66">
        <f>COUNTIFS($N$9:$N$38,"カ 中等教育学校",$BO$9:$BO$38,"オ 学校行事")</f>
        <v>0</v>
      </c>
      <c r="CI52" s="66">
        <f>COUNTIFS($N$9:$N$38,"カ 中等教育学校",$BO$9:$BO$38,"カ ホームルーム")</f>
        <v>0</v>
      </c>
      <c r="CJ52" s="66">
        <f>COUNTIFS($N$9:$N$38,"カ 中等教育学校",$BO$9:$BO$38,"キ その他")</f>
        <v>0</v>
      </c>
      <c r="CK52" s="66">
        <f>COUNTIFS($N$9:$N$38,"カ 中等教育学校",$BP$9:$BP$38,"ア 教室・保育室")</f>
        <v>0</v>
      </c>
      <c r="CL52" s="66">
        <f>COUNTIFS($N$9:$N$38,"カ 中等教育学校",$BP$9:$BP$38,"イ 職員室")</f>
        <v>0</v>
      </c>
      <c r="CM52" s="66">
        <f>COUNTIFS($N$9:$N$38,"カ 中等教育学校",$BP$9:$BP$38,"ウ 運動場・園庭、体育館・遊戯室")</f>
        <v>0</v>
      </c>
      <c r="CN52" s="66">
        <f>COUNTIFS($N$9:$N$38,"カ 中等教育学校",$BP$9:$BP$38,"エ 生徒指導室")</f>
        <v>0</v>
      </c>
      <c r="CO52" s="66">
        <f>COUNTIFS($N$9:$N$38,"カ 中等教育学校",$BP$9:$BP$38,"オ 廊下、階段")</f>
        <v>0</v>
      </c>
      <c r="CP52" s="66">
        <f>COUNTIFS($N$9:$N$38,"カ 中等教育学校",$BP$9:$BP$38,"カ その他")</f>
        <v>0</v>
      </c>
      <c r="CQ52" s="66">
        <f>COUNTIFS($N$9:$N$38,"カ 中等教育学校",$BQ$9:$BQ$38,"ア 素手で殴る・叩く")</f>
        <v>0</v>
      </c>
      <c r="CR52" s="66">
        <f>COUNTIFS($N$9:$N$38,"カ 中等教育学校",$BQ$9:$BQ$38,"イ 棒などで殴る・叩く")</f>
        <v>0</v>
      </c>
      <c r="CS52" s="66">
        <f>COUNTIFS($N$9:$N$38,"カ 中等教育学校",$BQ$9:$BQ$38,"ウ 蹴る・踏みつける")</f>
        <v>0</v>
      </c>
      <c r="CT52" s="66">
        <f>COUNTIFS($N$9:$N$38,"カ 中等教育学校",$BQ$9:$BQ$38,"エ 投げる・突き飛ばす・転倒させる")</f>
        <v>0</v>
      </c>
      <c r="CU52" s="66">
        <f>COUNTIFS($N$9:$N$38,"カ 中等教育学校",$BQ$9:$BQ$38,"オ つねる・ひっかく")</f>
        <v>0</v>
      </c>
      <c r="CV52" s="66">
        <f>COUNTIFS($N$9:$N$38,"カ 中等教育学校",$BQ$9:$BQ$38,"カ 物をぶつける・投げつける")</f>
        <v>0</v>
      </c>
      <c r="CW52" s="66">
        <f>COUNTIFS($N$9:$N$38,"カ 中等教育学校",$BQ$9:$BQ$38,"キ 長時間教室等に留め置く")</f>
        <v>0</v>
      </c>
      <c r="CX52" s="66">
        <f>COUNTIFS($N$9:$N$38,"カ 中等教育学校",$BQ$9:$BQ$38,"ク 長時間正座など一定の姿勢を保持させる")</f>
        <v>0</v>
      </c>
      <c r="CY52" s="66">
        <f>COUNTIFS($N$9:$N$38,"カ 中等教育学校",$BQ$9:$BQ$38,"ケ その他")</f>
        <v>0</v>
      </c>
      <c r="CZ52" s="66">
        <f>COUNTIFS($N$9:$N$38,"カ 中等教育学校",$BR$9:$BR$38,"ア 死亡")</f>
        <v>0</v>
      </c>
      <c r="DA52" s="66">
        <f>COUNTIFS($N$9:$N$38,"カ 中等教育学校",$BR$9:$BR$38,"イ 骨折・挫折など")</f>
        <v>0</v>
      </c>
      <c r="DB52" s="66">
        <f>COUNTIFS($N$9:$N$38,"カ 中等教育学校",$BR$9:$BR$38,"ウ 鼓膜損傷")</f>
        <v>0</v>
      </c>
      <c r="DC52" s="66">
        <f>COUNTIFS($N$9:$N$38,"カ 中等教育学校",$BR$9:$BR$38,"エ 外傷")</f>
        <v>0</v>
      </c>
      <c r="DD52" s="66">
        <f>COUNTIFS($N$9:$N$38,"カ 中等教育学校",$BR$9:$BR$38,"オ 打撲（頭）")</f>
        <v>0</v>
      </c>
      <c r="DE52" s="66">
        <f>COUNTIFS($N$9:$N$38,"カ 中等教育学校",$BR$9:$BR$38,"カ 打撲（顔）")</f>
        <v>0</v>
      </c>
      <c r="DF52" s="66">
        <f>COUNTIFS($N$9:$N$38,"カ 中等教育学校",$BR$9:$BR$38,"キ 打撲（足）")</f>
        <v>0</v>
      </c>
      <c r="DG52" s="66">
        <f>COUNTIFS($N$9:$N$38,"カ 中等教育学校",$BR$9:$BR$38,"ク 打撲（オ～キ以外）")</f>
        <v>0</v>
      </c>
      <c r="DH52" s="66">
        <f>COUNTIFS($N$9:$N$38,"カ 中等教育学校",$BR$9:$BR$38,"ケ 鼻血")</f>
        <v>0</v>
      </c>
      <c r="DI52" s="66">
        <f>COUNTIFS($N$9:$N$38,"カ 中等教育学校",$BR$9:$BR$38,"コ 髪を切られる")</f>
        <v>0</v>
      </c>
      <c r="DJ52" s="66">
        <f>COUNTIFS($N$9:$N$38,"カ 中等教育学校",$BR$9:$BR$38,"サ その他")</f>
        <v>0</v>
      </c>
      <c r="DK52" s="66">
        <f>COUNTIFS($N$9:$N$38,"カ 中等教育学校",$BR$9:$BR$38,"シ 傷害なし")</f>
        <v>0</v>
      </c>
      <c r="DL52" s="65">
        <f>COUNTIFS($N$9:$N$38,"カ 中等教育学校",$BS$9:$BS$38,1)</f>
        <v>0</v>
      </c>
      <c r="DM52" s="65">
        <f>COUNTIFS($N$9:$N$38,"カ 中等教育学校",$BT$9:$BT$38,1)</f>
        <v>0</v>
      </c>
      <c r="DN52" s="65">
        <f>COUNTIFS($N$9:$N$38,"カ 中等教育学校",$BU$9:$BU$38,1)</f>
        <v>0</v>
      </c>
      <c r="DO52" s="65">
        <f>COUNTIFS($N$9:$N$38,"カ 中等教育学校",$BV$9:$BV$38,1)</f>
        <v>0</v>
      </c>
      <c r="DP52" s="65">
        <f>COUNTIFS($N$9:$N$38,"カ 中等教育学校",$BW$9:$BW$38,1)</f>
        <v>0</v>
      </c>
      <c r="DQ52" s="65">
        <f>COUNTIFS($N$9:$N$38,"カ 中等教育学校",$BX$9:$BX$38,1)</f>
        <v>0</v>
      </c>
      <c r="DR52" s="65">
        <f>COUNTIFS($N$9:$N$38,"カ 中等教育学校",$BY$9:$BY$38,1)</f>
        <v>0</v>
      </c>
      <c r="DS52" s="65">
        <f>COUNTIFS($N$9:$N$38,"カ 中等教育学校",$BZ$9:$BZ$38,1)</f>
        <v>0</v>
      </c>
      <c r="DT52" s="65">
        <f>COUNTIFS($N$9:$N$38,"カ 中等教育学校",$CA$9:$CA$38,1)</f>
        <v>0</v>
      </c>
      <c r="DU52" s="65">
        <f>COUNTIFS($N$9:$N$38,"カ 中等教育学校",$CB$9:$CB$38,1)</f>
        <v>0</v>
      </c>
      <c r="DV52" s="65">
        <f>COUNTIFS($N$9:$N$38,"カ 中等教育学校",$CC$9:$CC$38,1)</f>
        <v>0</v>
      </c>
    </row>
    <row r="53" spans="72:126" ht="21.75" customHeight="1" x14ac:dyDescent="0.2">
      <c r="BT53" s="63" t="s">
        <v>76</v>
      </c>
      <c r="BU53" s="65">
        <f>INT(SUMPRODUCT(1/SUBSTITUTE(COUNTIFS(N9:N38,"キ 特別支援学校",Q9:Q38,Q9:Q38),0,31)))</f>
        <v>0</v>
      </c>
      <c r="BV53" s="65">
        <f>COUNTIF($N$9:$N$38,"キ 特別支援学校")</f>
        <v>0</v>
      </c>
      <c r="BW53" s="65">
        <f>COUNTIFS(N9:N38,"キ 特別支援学校",O9:O38,"ア ２０歳代")</f>
        <v>0</v>
      </c>
      <c r="BX53" s="65">
        <f>COUNTIFS(N9:N38,"キ 特別支援学校",O9:O38,"イ ３０歳代")</f>
        <v>0</v>
      </c>
      <c r="BY53" s="65">
        <f>COUNTIFS(N9:N38,"キ 特別支援学校",O9:O38,"ウ ４０歳代")</f>
        <v>0</v>
      </c>
      <c r="BZ53" s="65">
        <f>COUNTIFS(N9:N38,"キ 特別支援学校",O9:O38,"エ ５０歳代")</f>
        <v>0</v>
      </c>
      <c r="CA53" s="65">
        <f>COUNTIFS(N9:N38,"キ 特別支援学校",O9:O38,"オ ６０歳代以上")</f>
        <v>0</v>
      </c>
      <c r="CB53" s="65">
        <f>COUNTIFS($N$9:$N$38,"キ 特別支援学校",$P$9:$P$38,"ア 男性")</f>
        <v>0</v>
      </c>
      <c r="CC53" s="65">
        <f>COUNTIFS($N$9:$N$38,"キ 特別支援学校",$P$9:$P$38,"イ 女性")</f>
        <v>0</v>
      </c>
      <c r="CD53" s="66">
        <f>COUNTIFS($N$9:$N$38,"キ 特別支援学校",$BO$9:$BO$38,"ア 授業中・保育中")</f>
        <v>0</v>
      </c>
      <c r="CE53" s="66">
        <f>COUNTIFS($N$9:$N$38,"キ 特別支援学校",$BO$9:$BO$38,"イ 放課後")</f>
        <v>0</v>
      </c>
      <c r="CF53" s="66">
        <f>COUNTIFS($N$9:$N$38,"キ 特別支援学校",$BO$9:$BO$38,"ウ 休み時間")</f>
        <v>0</v>
      </c>
      <c r="CG53" s="66">
        <f>COUNTIFS($N$9:$N$38,"キ 特別支援学校",$BO$9:$BO$38,"エ 部活動")</f>
        <v>0</v>
      </c>
      <c r="CH53" s="66">
        <f>COUNTIFS($N$9:$N$38,"キ 特別支援学校",$BO$9:$BO$38,"オ 学校行事")</f>
        <v>0</v>
      </c>
      <c r="CI53" s="66">
        <f>COUNTIFS($N$9:$N$38,"キ 特別支援学校",$BO$9:$BO$38,"カ ホームルーム")</f>
        <v>0</v>
      </c>
      <c r="CJ53" s="66">
        <f>COUNTIFS($N$9:$N$38,"キ 特別支援学校",$BO$9:$BO$38,"キ その他")</f>
        <v>0</v>
      </c>
      <c r="CK53" s="66">
        <f>COUNTIFS($N$9:$N$38,"キ 特別支援学校",$BP$9:$BP$38,"ア 教室・保育室")</f>
        <v>0</v>
      </c>
      <c r="CL53" s="66">
        <f>COUNTIFS($N$9:$N$38,"キ 特別支援学校",$BP$9:$BP$38,"イ 職員室")</f>
        <v>0</v>
      </c>
      <c r="CM53" s="66">
        <f>COUNTIFS($N$9:$N$38,"キ 特別支援学校",$BP$9:$BP$38,"ウ 運動場・園庭、体育館・遊戯室")</f>
        <v>0</v>
      </c>
      <c r="CN53" s="66">
        <f>COUNTIFS($N$9:$N$38,"キ 特別支援学校",$BP$9:$BP$38,"エ 生徒指導室")</f>
        <v>0</v>
      </c>
      <c r="CO53" s="66">
        <f>COUNTIFS($N$9:$N$38,"キ 特別支援学校",$BP$9:$BP$38,"オ 廊下、階段")</f>
        <v>0</v>
      </c>
      <c r="CP53" s="66">
        <f>COUNTIFS($N$9:$N$38,"キ 特別支援学校",$BP$9:$BP$38,"カ その他")</f>
        <v>0</v>
      </c>
      <c r="CQ53" s="66">
        <f>COUNTIFS($N$9:$N$38,"キ 特別支援学校",$BQ$9:$BQ$38,"ア 素手で殴る・叩く")</f>
        <v>0</v>
      </c>
      <c r="CR53" s="66">
        <f>COUNTIFS($N$9:$N$38,"キ 特別支援学校",$BQ$9:$BQ$38,"イ 棒などで殴る・叩く")</f>
        <v>0</v>
      </c>
      <c r="CS53" s="66">
        <f>COUNTIFS($N$9:$N$38,"キ 特別支援学校",$BQ$9:$BQ$38,"ウ 蹴る・踏みつける")</f>
        <v>0</v>
      </c>
      <c r="CT53" s="66">
        <f>COUNTIFS($N$9:$N$38,"キ 特別支援学校",$BQ$9:$BQ$38,"エ 投げる・突き飛ばす・転倒させる")</f>
        <v>0</v>
      </c>
      <c r="CU53" s="66">
        <f>COUNTIFS($N$9:$N$38,"キ 特別支援学校",$BQ$9:$BQ$38,"オ つねる・ひっかく")</f>
        <v>0</v>
      </c>
      <c r="CV53" s="66">
        <f>COUNTIFS($N$9:$N$38,"キ 特別支援学校",$BQ$9:$BQ$38,"カ 物をぶつける・投げつける")</f>
        <v>0</v>
      </c>
      <c r="CW53" s="66">
        <f>COUNTIFS($N$9:$N$38,"キ 特別支援学校",$BQ$9:$BQ$38,"キ 長時間教室等に留め置く")</f>
        <v>0</v>
      </c>
      <c r="CX53" s="66">
        <f>COUNTIFS($N$9:$N$38,"キ 特別支援学校",$BQ$9:$BQ$38,"ク 長時間正座など一定の姿勢を保持させる")</f>
        <v>0</v>
      </c>
      <c r="CY53" s="66">
        <f>COUNTIFS($N$9:$N$38,"キ 特別支援学校",$BQ$9:$BQ$38,"ケ その他")</f>
        <v>0</v>
      </c>
      <c r="CZ53" s="66">
        <f>COUNTIFS($N$9:$N$38,"キ 特別支援学校",$BR$9:$BR$38,"ア 死亡")</f>
        <v>0</v>
      </c>
      <c r="DA53" s="66">
        <f>COUNTIFS($N$9:$N$38,"キ 特別支援学校",$BR$9:$BR$38,"イ 骨折・挫折など")</f>
        <v>0</v>
      </c>
      <c r="DB53" s="66">
        <f>COUNTIFS($N$9:$N$38,"キ 特別支援学校",$BR$9:$BR$38,"ウ 鼓膜損傷")</f>
        <v>0</v>
      </c>
      <c r="DC53" s="66">
        <f>COUNTIFS($N$9:$N$38,"キ 特別支援学校",$BR$9:$BR$38,"エ 外傷")</f>
        <v>0</v>
      </c>
      <c r="DD53" s="66">
        <f>COUNTIFS($N$9:$N$38,"キ 特別支援学校",$BR$9:$BR$38,"オ 打撲（頭）")</f>
        <v>0</v>
      </c>
      <c r="DE53" s="66">
        <f>COUNTIFS($N$9:$N$38,"キ 特別支援学校",$BR$9:$BR$38,"カ 打撲（顔）")</f>
        <v>0</v>
      </c>
      <c r="DF53" s="66">
        <f>COUNTIFS($N$9:$N$38,"キ 特別支援学校",$BR$9:$BR$38,"キ 打撲（足）")</f>
        <v>0</v>
      </c>
      <c r="DG53" s="66">
        <f>COUNTIFS($N$9:$N$38,"キ 特別支援学校",$BR$9:$BR$38,"ク 打撲（オ～キ以外）")</f>
        <v>0</v>
      </c>
      <c r="DH53" s="66">
        <f>COUNTIFS($N$9:$N$38,"キ 特別支援学校",$BR$9:$BR$38,"ケ 鼻血")</f>
        <v>0</v>
      </c>
      <c r="DI53" s="66">
        <f>COUNTIFS($N$9:$N$38,"キ 特別支援学校",$BR$9:$BR$38,"コ 髪を切られる")</f>
        <v>0</v>
      </c>
      <c r="DJ53" s="66">
        <f>COUNTIFS($N$9:$N$38,"キ 特別支援学校",$BR$9:$BR$38,"サ その他")</f>
        <v>0</v>
      </c>
      <c r="DK53" s="66">
        <f>COUNTIFS($N$9:$N$38,"キ 特別支援学校",$BR$9:$BR$38,"シ 傷害なし")</f>
        <v>0</v>
      </c>
      <c r="DL53" s="65">
        <f>COUNTIFS($N$9:$N$38,"キ 特別支援学校",$BS$9:$BS$38,1)</f>
        <v>0</v>
      </c>
      <c r="DM53" s="65">
        <f>COUNTIFS($N$9:$N$38,"キ 特別支援学校",$BT$9:$BT$38,1)</f>
        <v>0</v>
      </c>
      <c r="DN53" s="65">
        <f>COUNTIFS($N$9:$N$38,"キ 特別支援学校",$BU$9:$BU$38,1)</f>
        <v>0</v>
      </c>
      <c r="DO53" s="65">
        <f>COUNTIFS($N$9:$N$38,"キ 特別支援学校",$BV$9:$BV$38,1)</f>
        <v>0</v>
      </c>
      <c r="DP53" s="65">
        <f>COUNTIFS($N$9:$N$38,"キ 特別支援学校",$BW$9:$BW$38,1)</f>
        <v>0</v>
      </c>
      <c r="DQ53" s="65">
        <f>COUNTIFS($N$9:$N$38,"キ 特別支援学校",$BX$9:$BX$38,1)</f>
        <v>0</v>
      </c>
      <c r="DR53" s="65">
        <f>COUNTIFS($N$9:$N$38,"キ 特別支援学校",$BY$9:$BY$38,1)</f>
        <v>0</v>
      </c>
      <c r="DS53" s="65">
        <f>COUNTIFS($N$9:$N$38,"キ 特別支援学校",$BZ$9:$BZ$38,1)</f>
        <v>0</v>
      </c>
      <c r="DT53" s="65">
        <f>COUNTIFS($N$9:$N$38,"キ 特別支援学校",$CA$9:$CA$38,1)</f>
        <v>0</v>
      </c>
      <c r="DU53" s="65">
        <f>COUNTIFS($N$9:$N$38,"キ 特別支援学校",$CB$9:$CB$38,1)</f>
        <v>0</v>
      </c>
      <c r="DV53" s="65">
        <f>COUNTIFS($N$9:$N$38,"キ 特別支援学校",$CC$9:$CC$38,1)</f>
        <v>0</v>
      </c>
    </row>
    <row r="54" spans="72:126" ht="21.75" customHeight="1" x14ac:dyDescent="0.2">
      <c r="BT54" s="63" t="s">
        <v>94</v>
      </c>
      <c r="BU54" s="67" t="e">
        <f>INT(SUMPRODUCT(1/SUBSTITUTE(COUNTIFS(N9:N38,"オ 高等学校",Q9:Q38,Q9:Q38,#REF!,"1",#REF!,#REF!),0,31)))</f>
        <v>#REF!</v>
      </c>
      <c r="BV54" s="65" t="e">
        <f>COUNTIFS($N$9:$N$38,"オ 高等学校",#REF!,"1")</f>
        <v>#REF!</v>
      </c>
      <c r="BW54" s="65" t="e">
        <f>COUNTIFS(N9:N38,"オ 高等学校",O9:O38,"ア ２０歳代",#REF!,"1")</f>
        <v>#REF!</v>
      </c>
      <c r="BX54" s="65" t="e">
        <f>COUNTIFS(N9:N38,"オ 高等学校",O9:O38,"イ ３０歳代",#REF!,"1")</f>
        <v>#REF!</v>
      </c>
      <c r="BY54" s="65" t="e">
        <f>COUNTIFS(N9:N38,"オ 高等学校",O9:O38,"ウ ４０歳代",#REF!,"1")</f>
        <v>#REF!</v>
      </c>
      <c r="BZ54" s="65" t="e">
        <f>COUNTIFS(N9:N38,"オ 高等学校",O9:O38,"エ ５０歳代",#REF!,"1")</f>
        <v>#REF!</v>
      </c>
      <c r="CA54" s="65" t="e">
        <f>COUNTIFS(N9:N38,"オ 高等学校",O9:O38,"オ ６０歳代以上",#REF!,"1")</f>
        <v>#REF!</v>
      </c>
      <c r="CB54" s="65" t="e">
        <f>COUNTIFS($N$9:$N$38,"オ 高等学校",$P$9:$P$38,"ア 男性",#REF!,"1")</f>
        <v>#REF!</v>
      </c>
      <c r="CC54" s="65" t="e">
        <f>COUNTIFS($N$9:$N$38,"オ 高等学校",$P$9:$P$38,"イ 女性",#REF!,"1")</f>
        <v>#REF!</v>
      </c>
      <c r="CD54" s="66" t="e">
        <f>COUNTIFS($N$9:$N$38,"オ 高等学校",BO9:BO38,"ア 授業中・保育中",#REF!,"1")</f>
        <v>#REF!</v>
      </c>
      <c r="CE54" s="66" t="e">
        <f>COUNTIFS($N$9:$N$38,"オ 高等学校",BO9:BO38,"イ 放課後",#REF!,"1")</f>
        <v>#REF!</v>
      </c>
      <c r="CF54" s="66" t="e">
        <f>COUNTIFS($N$9:$N$38,"オ 高等学校",BO9:BO38,"ウ 休み時間",#REF!,"1")</f>
        <v>#REF!</v>
      </c>
      <c r="CG54" s="66" t="e">
        <f>COUNTIFS($N$9:$N$38,"オ 高等学校",BO9:BO38,"エ 部活動",#REF!,"1")</f>
        <v>#REF!</v>
      </c>
      <c r="CH54" s="66" t="e">
        <f>COUNTIFS($N$9:$N$38,"オ 高等学校",BO9:BO38,"オ 学校行事",#REF!,"1")</f>
        <v>#REF!</v>
      </c>
      <c r="CI54" s="66" t="e">
        <f>COUNTIFS($N$9:$N$38,"オ 高等学校",BO9:BO38,"カ ホームルーム",#REF!,"1")</f>
        <v>#REF!</v>
      </c>
      <c r="CJ54" s="66" t="e">
        <f>COUNTIFS($N$9:$N$38,"オ 高等学校",BO9:BO38,"キ その他",#REF!,"1")</f>
        <v>#REF!</v>
      </c>
      <c r="CK54" s="66" t="e">
        <f>COUNTIFS($N$9:$N$38,"オ 高等学校",$BP$9:$BP$38,"ア 教室・保育室",#REF!,"1")</f>
        <v>#REF!</v>
      </c>
      <c r="CL54" s="66" t="e">
        <f>COUNTIFS($N$9:$N$38,"オ 高等学校",$BP$9:$BP$38,"イ 職員室",#REF!,"1")</f>
        <v>#REF!</v>
      </c>
      <c r="CM54" s="66" t="e">
        <f>COUNTIFS($N$9:$N$38,"オ 高等学校",$BP$9:$BP$38,"ウ 運動場・園庭、体育館・遊戯室",#REF!,"1")</f>
        <v>#REF!</v>
      </c>
      <c r="CN54" s="66" t="e">
        <f>COUNTIFS($N$9:$N$38,"オ 高等学校",$BP$9:$BP$38,"エ 生徒指導室",#REF!,"1")</f>
        <v>#REF!</v>
      </c>
      <c r="CO54" s="66" t="e">
        <f>COUNTIFS($N$9:$N$38,"オ 高等学校",$BP$9:$BP$38,"オ 廊下、階段",#REF!,"1")</f>
        <v>#REF!</v>
      </c>
      <c r="CP54" s="66" t="e">
        <f>COUNTIFS($N$9:$N$38,"オ 高等学校",$BP$9:$BP$38,"カ その他",#REF!,"1")</f>
        <v>#REF!</v>
      </c>
      <c r="CQ54" s="66" t="e">
        <f>COUNTIFS($N$9:$N$38,"オ 高等学校",$BQ$9:$BQ$38,"ア 素手で殴る・叩く",#REF!,"1")</f>
        <v>#REF!</v>
      </c>
      <c r="CR54" s="66" t="e">
        <f>COUNTIFS($N$9:$N$38,"オ 高等学校",$BQ$9:$BQ$38,"イ 棒などで殴る・叩く",#REF!,"1")</f>
        <v>#REF!</v>
      </c>
      <c r="CS54" s="66" t="e">
        <f>COUNTIFS($N$9:$N$38,"オ 高等学校",$BQ$9:$BQ$38,"ウ 蹴る・踏みつける",#REF!,"1")</f>
        <v>#REF!</v>
      </c>
      <c r="CT54" s="66" t="e">
        <f>COUNTIFS($N$9:$N$38,"オ 高等学校",$BQ$9:$BQ$38,"エ 投げる・突き飛ばす・転倒させる",#REF!,"1")</f>
        <v>#REF!</v>
      </c>
      <c r="CU54" s="66" t="e">
        <f>COUNTIFS($N$9:$N$38,"オ 高等学校",$BQ$9:$BQ$38,"オ つねる・ひっかく",#REF!,"1")</f>
        <v>#REF!</v>
      </c>
      <c r="CV54" s="66" t="e">
        <f>COUNTIFS($N$9:$N$38,"オ 高等学校",$BQ$9:$BQ$38,"カ 物をぶつける・投げつける",#REF!,"1")</f>
        <v>#REF!</v>
      </c>
      <c r="CW54" s="66" t="e">
        <f>COUNTIFS($N$9:$N$38,"オ 高等学校",$BQ$9:$BQ$38,"キ 長時間教室等に留め置く",#REF!,"1")</f>
        <v>#REF!</v>
      </c>
      <c r="CX54" s="66" t="e">
        <f>COUNTIFS($N$9:$N$38,"オ 高等学校",$BQ$9:$BQ$38,"ク 長時間正座など一定の姿勢を保持させる",#REF!,"1")</f>
        <v>#REF!</v>
      </c>
      <c r="CY54" s="66" t="e">
        <f>COUNTIFS($N$9:$N$38,"オ 高等学校",$BQ$9:$BQ$38,"ケ その他",#REF!,"1")</f>
        <v>#REF!</v>
      </c>
      <c r="CZ54" s="66" t="e">
        <f>COUNTIFS($N$9:$N$38,"オ 高等学校",$BR$9:$BR$38,"ア 死亡",#REF!,"1")</f>
        <v>#REF!</v>
      </c>
      <c r="DA54" s="66" t="e">
        <f>COUNTIFS($N$9:$N$38,"オ 高等学校",$BR$9:$BR$38,"イ 骨折・挫折など",#REF!,"1")</f>
        <v>#REF!</v>
      </c>
      <c r="DB54" s="66" t="e">
        <f>COUNTIFS($N$9:$N$38,"オ 高等学校",$BR$9:$BR$38,"ウ 鼓膜損傷",#REF!,"1")</f>
        <v>#REF!</v>
      </c>
      <c r="DC54" s="66" t="e">
        <f>COUNTIFS($N$9:$N$38,"オ 高等学校",$BR$9:$BR$38,"エ 外傷",#REF!,"1")</f>
        <v>#REF!</v>
      </c>
      <c r="DD54" s="66" t="e">
        <f>COUNTIFS($N$9:$N$38,"オ 高等学校",$BR$9:$BR$38,"オ 打撲（頭）",#REF!,"1")</f>
        <v>#REF!</v>
      </c>
      <c r="DE54" s="66" t="e">
        <f>COUNTIFS($N$9:$N$38,"オ 高等学校",$BR$9:$BR$38,"カ 打撲（顔）",#REF!,"1")</f>
        <v>#REF!</v>
      </c>
      <c r="DF54" s="66" t="e">
        <f>COUNTIFS($N$9:$N$38,"オ 高等学校",$BR$9:$BR$38,"キ 打撲（足）",#REF!,"1")</f>
        <v>#REF!</v>
      </c>
      <c r="DG54" s="66" t="e">
        <f>COUNTIFS($N$9:$N$38,"オ 高等学校",$BR$9:$BR$38,"ク 打撲（オ～キ以外）",#REF!,"1")</f>
        <v>#REF!</v>
      </c>
      <c r="DH54" s="66" t="e">
        <f>COUNTIFS($N$9:$N$38,"オ 高等学校",$BR$9:$BR$38,"ケ 鼻血",#REF!,"1")</f>
        <v>#REF!</v>
      </c>
      <c r="DI54" s="66" t="e">
        <f>COUNTIFS($N$9:$N$38,"オ 高等学校",$BR$9:$BR$38,"コ 髪を切られる",#REF!,"1")</f>
        <v>#REF!</v>
      </c>
      <c r="DJ54" s="66" t="e">
        <f>COUNTIFS($N$9:$N$38,"オ 高等学校",$BR$9:$BR$38,"サ その他",#REF!,"1")</f>
        <v>#REF!</v>
      </c>
      <c r="DK54" s="66" t="e">
        <f>COUNTIFS($N$9:$N$38,"オ 高等学校",$BR$9:$BR$38,"シ 傷害なし",#REF!,"1")</f>
        <v>#REF!</v>
      </c>
      <c r="DL54" s="65" t="e">
        <f>COUNTIFS($N$9:$N$38,"オ 高等学校",$BS$9:$BS$38,1,#REF!,1)</f>
        <v>#REF!</v>
      </c>
      <c r="DM54" s="65" t="e">
        <f>COUNTIFS($N$9:$N$38,"オ 高等学校",$BT$9:$BT$38,1,#REF!,1)</f>
        <v>#REF!</v>
      </c>
      <c r="DN54" s="65" t="e">
        <f>COUNTIFS($N$9:$N$38,"オ 高等学校",$BU$9:$BU$38,1,#REF!,1)</f>
        <v>#REF!</v>
      </c>
      <c r="DO54" s="65" t="e">
        <f>COUNTIFS($N$9:$N$38,"オ 高等学校",$BV$9:$BV$38,1,#REF!,1)</f>
        <v>#REF!</v>
      </c>
      <c r="DP54" s="65" t="e">
        <f>COUNTIFS($N$9:$N$38,"オ 高等学校",$BW$9:$BW$38,1,#REF!,1)</f>
        <v>#REF!</v>
      </c>
      <c r="DQ54" s="65" t="e">
        <f>COUNTIFS($N$9:$N$38,"オ 高等学校",$BX$9:$BX$38,1,#REF!,1)</f>
        <v>#REF!</v>
      </c>
      <c r="DR54" s="65" t="e">
        <f>COUNTIFS($N$9:$N$38,"オ 高等学校",$BY$9:$BY$38,1,#REF!,1)</f>
        <v>#REF!</v>
      </c>
      <c r="DS54" s="65" t="e">
        <f>COUNTIFS($N$9:$N$38,"オ 高等学校",$BZ$9:$BZ$38,1,#REF!,1)</f>
        <v>#REF!</v>
      </c>
      <c r="DT54" s="65" t="e">
        <f>COUNTIFS($N$9:$N$38,"オ 高等学校",$CA$9:$CA$38,1,#REF!,1)</f>
        <v>#REF!</v>
      </c>
      <c r="DU54" s="65" t="e">
        <f>COUNTIFS($N$9:$N$38,"オ 高等学校",$CB$9:$CB$38,1,#REF!,1)</f>
        <v>#REF!</v>
      </c>
      <c r="DV54" s="65" t="e">
        <f>COUNTIFS($N$9:$N$38,"オ 高等学校",$CC$9:$CC$38,1,#REF!,1)</f>
        <v>#REF!</v>
      </c>
    </row>
    <row r="55" spans="72:126" x14ac:dyDescent="0.2">
      <c r="BW55" s="68" t="s">
        <v>98</v>
      </c>
      <c r="BX55" s="68" t="s">
        <v>99</v>
      </c>
      <c r="BY55" s="68" t="s">
        <v>100</v>
      </c>
      <c r="BZ55" s="68" t="s">
        <v>101</v>
      </c>
      <c r="CA55" s="69" t="s">
        <v>102</v>
      </c>
      <c r="CB55" s="68" t="s">
        <v>103</v>
      </c>
      <c r="CC55" s="68" t="s">
        <v>104</v>
      </c>
      <c r="CD55" s="68" t="s">
        <v>105</v>
      </c>
      <c r="CE55" s="68" t="s">
        <v>106</v>
      </c>
      <c r="CF55" s="69" t="s">
        <v>107</v>
      </c>
      <c r="CG55" s="68" t="s">
        <v>108</v>
      </c>
      <c r="CH55" s="68" t="s">
        <v>109</v>
      </c>
      <c r="CI55" s="68" t="s">
        <v>110</v>
      </c>
      <c r="CJ55" s="68" t="s">
        <v>111</v>
      </c>
      <c r="CK55" s="68" t="s">
        <v>112</v>
      </c>
      <c r="CL55" s="68" t="s">
        <v>113</v>
      </c>
      <c r="CM55" s="68" t="s">
        <v>114</v>
      </c>
      <c r="CN55" s="68" t="s">
        <v>115</v>
      </c>
      <c r="CO55" s="68" t="s">
        <v>116</v>
      </c>
      <c r="CP55" s="68" t="s">
        <v>111</v>
      </c>
      <c r="CQ55" s="68" t="s">
        <v>117</v>
      </c>
      <c r="CR55" s="68" t="s">
        <v>118</v>
      </c>
      <c r="CS55" s="68" t="s">
        <v>119</v>
      </c>
      <c r="CT55" s="68" t="s">
        <v>120</v>
      </c>
      <c r="CU55" s="68" t="s">
        <v>121</v>
      </c>
      <c r="CV55" s="68" t="s">
        <v>122</v>
      </c>
      <c r="CW55" s="68" t="s">
        <v>123</v>
      </c>
      <c r="CX55" s="68" t="s">
        <v>124</v>
      </c>
      <c r="CY55" s="68" t="s">
        <v>111</v>
      </c>
      <c r="CZ55" s="68" t="s">
        <v>125</v>
      </c>
      <c r="DA55" s="68" t="s">
        <v>126</v>
      </c>
      <c r="DB55" s="69" t="s">
        <v>127</v>
      </c>
      <c r="DC55" s="68" t="s">
        <v>128</v>
      </c>
      <c r="DD55" s="68" t="s">
        <v>129</v>
      </c>
      <c r="DE55" s="68" t="s">
        <v>130</v>
      </c>
      <c r="DF55" s="68" t="s">
        <v>131</v>
      </c>
      <c r="DG55" s="68" t="s">
        <v>132</v>
      </c>
      <c r="DH55" s="68" t="s">
        <v>133</v>
      </c>
      <c r="DI55" s="68" t="s">
        <v>134</v>
      </c>
      <c r="DJ55" s="68" t="s">
        <v>111</v>
      </c>
      <c r="DK55" s="68" t="s">
        <v>135</v>
      </c>
      <c r="DL55" s="68" t="s">
        <v>136</v>
      </c>
      <c r="DM55" s="68" t="s">
        <v>137</v>
      </c>
      <c r="DN55" s="68" t="s">
        <v>138</v>
      </c>
      <c r="DO55" s="68" t="s">
        <v>139</v>
      </c>
      <c r="DP55" s="68" t="s">
        <v>111</v>
      </c>
      <c r="DQ55" s="68" t="s">
        <v>140</v>
      </c>
      <c r="DR55" s="68" t="s">
        <v>141</v>
      </c>
      <c r="DS55" s="69" t="s">
        <v>142</v>
      </c>
      <c r="DT55" s="68" t="s">
        <v>143</v>
      </c>
      <c r="DU55" s="68" t="s">
        <v>137</v>
      </c>
      <c r="DV55" s="68" t="s">
        <v>139</v>
      </c>
    </row>
    <row r="58" spans="72:126" ht="13.8" thickBot="1" x14ac:dyDescent="0.25"/>
    <row r="59" spans="72:126" ht="13.8" thickBot="1" x14ac:dyDescent="0.25">
      <c r="BT59" s="133" t="s">
        <v>3</v>
      </c>
      <c r="BU59" s="134"/>
      <c r="BV59" s="134"/>
      <c r="BW59" s="134"/>
      <c r="BX59" s="134"/>
      <c r="BY59" s="134"/>
      <c r="BZ59" s="134"/>
      <c r="CA59" s="134"/>
      <c r="CB59" s="134"/>
      <c r="CC59" s="134"/>
      <c r="CD59" s="134"/>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5"/>
    </row>
    <row r="60" spans="72:126" x14ac:dyDescent="0.2">
      <c r="BT60" s="123" t="s">
        <v>167</v>
      </c>
      <c r="BU60" s="124"/>
      <c r="BV60" s="124"/>
      <c r="BW60" s="125"/>
      <c r="BX60" s="136" t="s">
        <v>12</v>
      </c>
      <c r="BY60" s="137"/>
      <c r="BZ60" s="137"/>
      <c r="CA60" s="137"/>
      <c r="CB60" s="137"/>
      <c r="CC60" s="138"/>
      <c r="CD60" s="142"/>
      <c r="CE60" s="143"/>
      <c r="CF60" s="145" t="s">
        <v>144</v>
      </c>
      <c r="CG60" s="146"/>
      <c r="CH60" s="146"/>
      <c r="CI60" s="146"/>
      <c r="CJ60" s="146"/>
      <c r="CK60" s="146"/>
      <c r="CL60" s="146"/>
      <c r="CM60" s="146"/>
      <c r="CN60" s="147"/>
      <c r="CO60" s="145" t="s">
        <v>14</v>
      </c>
      <c r="CP60" s="142"/>
      <c r="CQ60" s="143"/>
      <c r="CR60" s="145" t="s">
        <v>15</v>
      </c>
      <c r="CS60" s="142"/>
      <c r="CT60" s="142"/>
      <c r="CU60" s="142"/>
      <c r="CV60" s="142"/>
      <c r="CW60" s="143"/>
      <c r="CX60" s="130" t="s">
        <v>16</v>
      </c>
      <c r="CY60" s="131"/>
      <c r="CZ60" s="131"/>
      <c r="DA60" s="131"/>
      <c r="DB60" s="131"/>
      <c r="DC60" s="131"/>
      <c r="DD60" s="131"/>
      <c r="DE60" s="131"/>
      <c r="DF60" s="131"/>
      <c r="DG60" s="131"/>
      <c r="DH60" s="131"/>
      <c r="DI60" s="131"/>
      <c r="DJ60" s="131"/>
      <c r="DK60" s="131"/>
      <c r="DL60" s="132"/>
    </row>
    <row r="61" spans="72:126" x14ac:dyDescent="0.2">
      <c r="BT61" s="126"/>
      <c r="BU61" s="127"/>
      <c r="BV61" s="127"/>
      <c r="BW61" s="128"/>
      <c r="BX61" s="139"/>
      <c r="BY61" s="140"/>
      <c r="BZ61" s="140"/>
      <c r="CA61" s="140"/>
      <c r="CB61" s="140"/>
      <c r="CC61" s="141"/>
      <c r="CD61" s="129"/>
      <c r="CE61" s="144"/>
      <c r="CF61" s="148"/>
      <c r="CG61" s="149"/>
      <c r="CH61" s="149"/>
      <c r="CI61" s="149"/>
      <c r="CJ61" s="149"/>
      <c r="CK61" s="149"/>
      <c r="CL61" s="149"/>
      <c r="CM61" s="149"/>
      <c r="CN61" s="150"/>
      <c r="CO61" s="151"/>
      <c r="CP61" s="129"/>
      <c r="CQ61" s="144"/>
      <c r="CR61" s="151" t="s">
        <v>25</v>
      </c>
      <c r="CS61" s="129"/>
      <c r="CT61" s="129"/>
      <c r="CU61" s="129" t="s">
        <v>26</v>
      </c>
      <c r="CV61" s="129"/>
      <c r="CW61" s="144"/>
      <c r="CX61" s="129" t="s">
        <v>163</v>
      </c>
      <c r="CY61" s="129"/>
      <c r="CZ61" s="129"/>
      <c r="DA61" s="151" t="s">
        <v>27</v>
      </c>
      <c r="DB61" s="129"/>
      <c r="DC61" s="129"/>
      <c r="DD61" s="129"/>
      <c r="DE61" s="129"/>
      <c r="DF61" s="129"/>
      <c r="DG61" s="129" t="s">
        <v>28</v>
      </c>
      <c r="DH61" s="129"/>
      <c r="DI61" s="129"/>
      <c r="DJ61" s="129" t="s">
        <v>29</v>
      </c>
      <c r="DK61" s="129"/>
      <c r="DL61" s="144"/>
    </row>
    <row r="62" spans="72:126" x14ac:dyDescent="0.2">
      <c r="BT62" s="79" t="s">
        <v>162</v>
      </c>
      <c r="BU62" s="78" t="s">
        <v>159</v>
      </c>
      <c r="BV62" s="78" t="s">
        <v>160</v>
      </c>
      <c r="BW62" s="80" t="s">
        <v>161</v>
      </c>
      <c r="BX62" s="72" t="s">
        <v>148</v>
      </c>
      <c r="BY62" s="70" t="s">
        <v>149</v>
      </c>
      <c r="BZ62" s="70" t="s">
        <v>150</v>
      </c>
      <c r="CA62" s="70" t="s">
        <v>151</v>
      </c>
      <c r="CB62" s="70" t="s">
        <v>152</v>
      </c>
      <c r="CC62" s="71" t="s">
        <v>153</v>
      </c>
      <c r="CD62" s="70" t="s">
        <v>149</v>
      </c>
      <c r="CE62" s="71" t="s">
        <v>150</v>
      </c>
      <c r="CF62" s="72" t="s">
        <v>148</v>
      </c>
      <c r="CG62" s="70" t="s">
        <v>149</v>
      </c>
      <c r="CH62" s="70" t="s">
        <v>150</v>
      </c>
      <c r="CI62" s="70" t="s">
        <v>151</v>
      </c>
      <c r="CJ62" s="70" t="s">
        <v>152</v>
      </c>
      <c r="CK62" s="70" t="s">
        <v>153</v>
      </c>
      <c r="CL62" s="70" t="s">
        <v>154</v>
      </c>
      <c r="CM62" s="70" t="s">
        <v>155</v>
      </c>
      <c r="CN62" s="71" t="s">
        <v>156</v>
      </c>
      <c r="CO62" s="72" t="s">
        <v>145</v>
      </c>
      <c r="CP62" s="70" t="s">
        <v>146</v>
      </c>
      <c r="CQ62" s="71" t="s">
        <v>147</v>
      </c>
      <c r="CR62" s="72" t="s">
        <v>148</v>
      </c>
      <c r="CS62" s="70" t="s">
        <v>149</v>
      </c>
      <c r="CT62" s="70" t="s">
        <v>150</v>
      </c>
      <c r="CU62" s="70" t="s">
        <v>148</v>
      </c>
      <c r="CV62" s="70" t="s">
        <v>149</v>
      </c>
      <c r="CW62" s="71" t="s">
        <v>150</v>
      </c>
      <c r="CX62" s="70" t="s">
        <v>159</v>
      </c>
      <c r="CY62" s="70" t="s">
        <v>160</v>
      </c>
      <c r="CZ62" s="70" t="s">
        <v>161</v>
      </c>
      <c r="DA62" s="72" t="s">
        <v>148</v>
      </c>
      <c r="DB62" s="70" t="s">
        <v>149</v>
      </c>
      <c r="DC62" s="70" t="s">
        <v>150</v>
      </c>
      <c r="DD62" s="70" t="s">
        <v>151</v>
      </c>
      <c r="DE62" s="70" t="s">
        <v>152</v>
      </c>
      <c r="DF62" s="70" t="s">
        <v>153</v>
      </c>
      <c r="DG62" s="70" t="s">
        <v>148</v>
      </c>
      <c r="DH62" s="70" t="s">
        <v>149</v>
      </c>
      <c r="DI62" s="70" t="s">
        <v>150</v>
      </c>
      <c r="DJ62" s="70" t="s">
        <v>148</v>
      </c>
      <c r="DK62" s="70" t="s">
        <v>149</v>
      </c>
      <c r="DL62" s="71" t="s">
        <v>150</v>
      </c>
    </row>
    <row r="63" spans="72:126" ht="16.8" thickBot="1" x14ac:dyDescent="0.25">
      <c r="BT63" s="81">
        <f t="shared" ref="BT63:CC63" si="20">SUM(R9:R38)</f>
        <v>0</v>
      </c>
      <c r="BU63" s="82">
        <f t="shared" si="20"/>
        <v>0</v>
      </c>
      <c r="BV63" s="82">
        <f t="shared" si="20"/>
        <v>0</v>
      </c>
      <c r="BW63" s="83">
        <f t="shared" si="20"/>
        <v>0</v>
      </c>
      <c r="BX63" s="84">
        <f t="shared" si="20"/>
        <v>0</v>
      </c>
      <c r="BY63" s="82">
        <f t="shared" si="20"/>
        <v>0</v>
      </c>
      <c r="BZ63" s="82">
        <f t="shared" si="20"/>
        <v>0</v>
      </c>
      <c r="CA63" s="82">
        <f t="shared" si="20"/>
        <v>0</v>
      </c>
      <c r="CB63" s="82">
        <f t="shared" si="20"/>
        <v>0</v>
      </c>
      <c r="CC63" s="83">
        <f t="shared" si="20"/>
        <v>0</v>
      </c>
      <c r="CD63" s="84">
        <f t="shared" ref="CD63:CP63" si="21">SUM(AC9:AC38)</f>
        <v>0</v>
      </c>
      <c r="CE63" s="84">
        <f t="shared" si="21"/>
        <v>0</v>
      </c>
      <c r="CF63" s="84">
        <f t="shared" si="21"/>
        <v>0</v>
      </c>
      <c r="CG63" s="84">
        <f t="shared" si="21"/>
        <v>0</v>
      </c>
      <c r="CH63" s="84">
        <f t="shared" si="21"/>
        <v>0</v>
      </c>
      <c r="CI63" s="84">
        <f t="shared" si="21"/>
        <v>0</v>
      </c>
      <c r="CJ63" s="84">
        <f t="shared" si="21"/>
        <v>0</v>
      </c>
      <c r="CK63" s="84">
        <f t="shared" si="21"/>
        <v>0</v>
      </c>
      <c r="CL63" s="84">
        <f t="shared" si="21"/>
        <v>0</v>
      </c>
      <c r="CM63" s="84">
        <f t="shared" si="21"/>
        <v>0</v>
      </c>
      <c r="CN63" s="84">
        <f t="shared" si="21"/>
        <v>0</v>
      </c>
      <c r="CO63" s="84">
        <f t="shared" si="21"/>
        <v>0</v>
      </c>
      <c r="CP63" s="82">
        <f t="shared" si="21"/>
        <v>0</v>
      </c>
      <c r="CQ63" s="83">
        <f>SUM(AQ9:AQ38)</f>
        <v>0</v>
      </c>
      <c r="CR63" s="84">
        <f>SUM(AR9:AR38)</f>
        <v>0</v>
      </c>
      <c r="CS63" s="82">
        <f>SUM(AS9:AS38)</f>
        <v>0</v>
      </c>
      <c r="CT63" s="82">
        <f>SUM(AU9:AU38)</f>
        <v>0</v>
      </c>
      <c r="CU63" s="82">
        <f>SUM(AV9:AV38)</f>
        <v>0</v>
      </c>
      <c r="CV63" s="82">
        <f>SUM(AW9:AW38)</f>
        <v>0</v>
      </c>
      <c r="CW63" s="83">
        <f t="shared" ref="CW63" si="22">SUM(AY9:AY38)</f>
        <v>0</v>
      </c>
      <c r="CX63" s="82">
        <f>SUM(AZ9:AZ38)</f>
        <v>0</v>
      </c>
      <c r="CY63" s="82">
        <f>SUM(BA9:BA38)</f>
        <v>0</v>
      </c>
      <c r="CZ63" s="82">
        <f>SUM(BB9:BB38)</f>
        <v>0</v>
      </c>
      <c r="DA63" s="84">
        <f t="shared" ref="DA63:DL63" si="23">SUM(BC9:BC38)</f>
        <v>0</v>
      </c>
      <c r="DB63" s="82">
        <f t="shared" si="23"/>
        <v>0</v>
      </c>
      <c r="DC63" s="82">
        <f t="shared" si="23"/>
        <v>0</v>
      </c>
      <c r="DD63" s="82">
        <f t="shared" si="23"/>
        <v>0</v>
      </c>
      <c r="DE63" s="82">
        <f t="shared" si="23"/>
        <v>0</v>
      </c>
      <c r="DF63" s="82">
        <f t="shared" si="23"/>
        <v>0</v>
      </c>
      <c r="DG63" s="82">
        <f t="shared" si="23"/>
        <v>0</v>
      </c>
      <c r="DH63" s="82">
        <f t="shared" si="23"/>
        <v>0</v>
      </c>
      <c r="DI63" s="82">
        <f t="shared" si="23"/>
        <v>0</v>
      </c>
      <c r="DJ63" s="82">
        <f t="shared" si="23"/>
        <v>0</v>
      </c>
      <c r="DK63" s="82">
        <f t="shared" si="23"/>
        <v>0</v>
      </c>
      <c r="DL63" s="83">
        <f t="shared" si="23"/>
        <v>0</v>
      </c>
    </row>
    <row r="64" spans="72:126" ht="16.8" thickBot="1" x14ac:dyDescent="0.25">
      <c r="BW64" s="85">
        <f>SUM(BT63:BW63)</f>
        <v>0</v>
      </c>
      <c r="CC64" s="85">
        <f>SUM(BX63:CC63)</f>
        <v>0</v>
      </c>
      <c r="CD64" s="86"/>
      <c r="CE64" s="85">
        <f>SUM(CD63:CE63)</f>
        <v>0</v>
      </c>
      <c r="CN64" s="87">
        <f>SUM(CF63:CN63)</f>
        <v>0</v>
      </c>
      <c r="CO64" s="88"/>
      <c r="CQ64" s="87">
        <f>SUM(CO63:CQ63)</f>
        <v>0</v>
      </c>
      <c r="CR64" s="88"/>
      <c r="CW64" s="85">
        <f>SUM(CR63:CW63)</f>
        <v>0</v>
      </c>
      <c r="CZ64" s="89"/>
      <c r="DA64" s="89"/>
      <c r="DK64" s="86"/>
      <c r="DL64" s="90">
        <f>SUM(CX63:DL63)</f>
        <v>0</v>
      </c>
    </row>
    <row r="65" ht="13.8" thickTop="1" x14ac:dyDescent="0.2"/>
  </sheetData>
  <mergeCells count="82">
    <mergeCell ref="CF7:CO7"/>
    <mergeCell ref="B5:M5"/>
    <mergeCell ref="B7:C7"/>
    <mergeCell ref="D7:E7"/>
    <mergeCell ref="F7:G7"/>
    <mergeCell ref="H7:I7"/>
    <mergeCell ref="J7:K7"/>
    <mergeCell ref="L7:M7"/>
    <mergeCell ref="BO5:BP7"/>
    <mergeCell ref="BQ5:BQ8"/>
    <mergeCell ref="BR5:BR8"/>
    <mergeCell ref="BX6:BX8"/>
    <mergeCell ref="AZ7:BB7"/>
    <mergeCell ref="BU43:BU45"/>
    <mergeCell ref="BV43:BV45"/>
    <mergeCell ref="BW43:CA44"/>
    <mergeCell ref="CB43:CC44"/>
    <mergeCell ref="BT41:BW42"/>
    <mergeCell ref="DL43:DP44"/>
    <mergeCell ref="DQ43:DV44"/>
    <mergeCell ref="CD44:CJ44"/>
    <mergeCell ref="CK44:CP44"/>
    <mergeCell ref="CQ43:CY44"/>
    <mergeCell ref="CZ43:DK44"/>
    <mergeCell ref="CD43:CP43"/>
    <mergeCell ref="BN1:BR1"/>
    <mergeCell ref="BN3:BR3"/>
    <mergeCell ref="BN4:BR4"/>
    <mergeCell ref="BX5:CC5"/>
    <mergeCell ref="AZ6:BN6"/>
    <mergeCell ref="R5:BN5"/>
    <mergeCell ref="BS6:BS8"/>
    <mergeCell ref="BT6:BT8"/>
    <mergeCell ref="BU6:BU8"/>
    <mergeCell ref="BV6:BV8"/>
    <mergeCell ref="CC6:CC8"/>
    <mergeCell ref="BY6:BY8"/>
    <mergeCell ref="BZ6:BZ8"/>
    <mergeCell ref="CA6:CA8"/>
    <mergeCell ref="CB6:CB8"/>
    <mergeCell ref="A5:A8"/>
    <mergeCell ref="N5:P7"/>
    <mergeCell ref="Q5:Q8"/>
    <mergeCell ref="BS5:BW5"/>
    <mergeCell ref="V6:AA7"/>
    <mergeCell ref="AB6:AD7"/>
    <mergeCell ref="AE6:AM7"/>
    <mergeCell ref="AN6:AQ7"/>
    <mergeCell ref="AR6:AY6"/>
    <mergeCell ref="AR7:AU7"/>
    <mergeCell ref="AV7:AY7"/>
    <mergeCell ref="BC7:BH7"/>
    <mergeCell ref="BI7:BK7"/>
    <mergeCell ref="BL7:BN7"/>
    <mergeCell ref="R6:U7"/>
    <mergeCell ref="BW6:BW8"/>
    <mergeCell ref="A2:B2"/>
    <mergeCell ref="S2:AA2"/>
    <mergeCell ref="AB2:AR2"/>
    <mergeCell ref="A3:B3"/>
    <mergeCell ref="C3:D3"/>
    <mergeCell ref="E3:L3"/>
    <mergeCell ref="M3:V3"/>
    <mergeCell ref="W3:AA3"/>
    <mergeCell ref="AB3:AR3"/>
    <mergeCell ref="C2:R2"/>
    <mergeCell ref="CQ7:CW7"/>
    <mergeCell ref="BT60:BW61"/>
    <mergeCell ref="CX61:CZ61"/>
    <mergeCell ref="CX60:DL60"/>
    <mergeCell ref="BT59:DL59"/>
    <mergeCell ref="BX60:CC61"/>
    <mergeCell ref="CD60:CE61"/>
    <mergeCell ref="CF60:CN61"/>
    <mergeCell ref="CO60:CQ61"/>
    <mergeCell ref="CR60:CW60"/>
    <mergeCell ref="CR61:CT61"/>
    <mergeCell ref="CU61:CW61"/>
    <mergeCell ref="DA61:DF61"/>
    <mergeCell ref="DG61:DI61"/>
    <mergeCell ref="DJ61:DL61"/>
    <mergeCell ref="CE7:CE8"/>
  </mergeCells>
  <phoneticPr fontId="5"/>
  <conditionalFormatting sqref="AB6:AM38 AR6:BN38">
    <cfRule type="expression" dxfId="1" priority="11">
      <formula>$C$2="株立"</formula>
    </cfRule>
  </conditionalFormatting>
  <dataValidations count="8">
    <dataValidation type="list" allowBlank="1" showInputMessage="1" showErrorMessage="1" sqref="BS9:CC38" xr:uid="{00000000-0002-0000-0000-000001000000}">
      <formula1>"1"</formula1>
    </dataValidation>
    <dataValidation type="list" allowBlank="1" showInputMessage="1" showErrorMessage="1" sqref="BO9:BO38" xr:uid="{00000000-0002-0000-0000-000002000000}">
      <formula1>"ア 授業中・保育中,イ 放課後,ウ 休み時間,エ 部活動,オ 学校行事,カ ホームルーム,キ その他"</formula1>
    </dataValidation>
    <dataValidation type="list" allowBlank="1" showInputMessage="1" showErrorMessage="1" sqref="BP9:BP38" xr:uid="{00000000-0002-0000-0000-000003000000}">
      <formula1>"ア 教室・保育室,イ 職員室,ウ 運動場・園庭、体育館・遊戯室,エ 生徒指導室,オ 廊下、階段,カ その他"</formula1>
    </dataValidation>
    <dataValidation type="list" allowBlank="1" showInputMessage="1" showErrorMessage="1" sqref="BR9:BR38" xr:uid="{00000000-0002-0000-0000-000004000000}">
      <formula1>"ア 死亡,イ 骨折・挫折など,ウ 鼓膜損傷,エ 外傷,オ 打撲（頭）,カ 打撲（顔）,キ 打撲（足）,ク 打撲（オ～キ以外）,ケ 鼻血,コ 髪を切られる,サ その他,シ 傷害なし"</formula1>
    </dataValidation>
    <dataValidation type="list" allowBlank="1" showInputMessage="1" showErrorMessage="1" sqref="O9:O38" xr:uid="{00000000-0002-0000-0000-000005000000}">
      <formula1>"ア ２０歳代,イ ３０歳代,ウ ４０歳代,エ ５０歳代,オ ６０歳代以上"</formula1>
    </dataValidation>
    <dataValidation type="list" allowBlank="1" showInputMessage="1" showErrorMessage="1" sqref="P9:P38" xr:uid="{00000000-0002-0000-0000-000006000000}">
      <formula1>"ア 男性,イ 女性"</formula1>
    </dataValidation>
    <dataValidation type="list" allowBlank="1" showInputMessage="1" showErrorMessage="1" sqref="BQ9:BQ38" xr:uid="{00000000-0002-0000-0000-000007000000}">
      <formula1>"ア 素手で殴る・叩く,イ 棒などで殴る・叩く,ウ 蹴る・踏みつける,エ 投げる・突き飛ばす・転倒させる,オ つねる・ひっかく,カ 物をぶつける・投げつける,キ 長時間教室等に留め置く,ク 長時間正座など一定の姿勢を保持させる,ケ その他"</formula1>
    </dataValidation>
    <dataValidation type="list" allowBlank="1" showInputMessage="1" showErrorMessage="1" sqref="N9:N38" xr:uid="{00000000-0002-0000-0000-000008000000}">
      <formula1>"ア 幼稚園,イ 小学校,ウ 中学校,エ 義務教育学校,オ 高等学校,カ 中等教育学校,キ 特別支援学校"</formula1>
    </dataValidation>
  </dataValidations>
  <printOptions horizontalCentered="1"/>
  <pageMargins left="0.25" right="0.25" top="0.75" bottom="0.75" header="0.3" footer="0.3"/>
  <pageSetup paperSize="8" scale="68" fitToWidth="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31CD-B8CA-4FBB-9E00-470A6865B941}">
  <sheetPr>
    <tabColor theme="7" tint="0.39997558519241921"/>
    <pageSetUpPr fitToPage="1"/>
  </sheetPr>
  <dimension ref="A1:EG65"/>
  <sheetViews>
    <sheetView zoomScaleNormal="100" zoomScaleSheetLayoutView="100" workbookViewId="0">
      <selection activeCell="A2" sqref="A2:N2"/>
    </sheetView>
  </sheetViews>
  <sheetFormatPr defaultColWidth="9" defaultRowHeight="13.2" x14ac:dyDescent="0.2"/>
  <cols>
    <col min="1" max="1" width="5.6640625" style="4" customWidth="1"/>
    <col min="2" max="13" width="7.88671875" style="4" customWidth="1"/>
    <col min="14" max="15" width="13.6640625" style="4" customWidth="1"/>
    <col min="16" max="17" width="8.6640625" style="4" customWidth="1"/>
    <col min="18" max="66" width="3.109375" style="4" customWidth="1"/>
    <col min="67" max="68" width="13.6640625" style="4" customWidth="1"/>
    <col min="69" max="69" width="17.6640625" style="4" customWidth="1"/>
    <col min="70" max="80" width="3.44140625" style="4" customWidth="1"/>
    <col min="81" max="81" width="23.44140625" style="4" customWidth="1"/>
    <col min="82" max="82" width="6.6640625" style="4" customWidth="1"/>
    <col min="83" max="137" width="6.109375" style="4" customWidth="1"/>
    <col min="138" max="16384" width="9" style="4"/>
  </cols>
  <sheetData>
    <row r="1" spans="1:100" customFormat="1" ht="36.9" customHeight="1" x14ac:dyDescent="0.2">
      <c r="A1" s="92" t="s">
        <v>183</v>
      </c>
      <c r="B1" s="92"/>
      <c r="C1" s="92"/>
      <c r="D1" s="92"/>
      <c r="E1" s="92"/>
      <c r="F1" s="92"/>
      <c r="G1" s="92"/>
      <c r="H1" s="92"/>
      <c r="I1" s="92"/>
      <c r="J1" s="92"/>
      <c r="K1" s="92"/>
      <c r="L1" s="92"/>
      <c r="M1" s="92"/>
      <c r="AR1" s="1"/>
      <c r="AS1" s="1"/>
      <c r="AT1" s="1"/>
      <c r="AU1" s="1"/>
      <c r="AV1" s="1"/>
      <c r="AW1" s="1"/>
      <c r="AX1" s="1"/>
      <c r="AY1" s="1"/>
      <c r="AZ1" s="1"/>
      <c r="BA1" s="1"/>
      <c r="BB1" s="1"/>
      <c r="BC1" s="1"/>
      <c r="BD1" s="1"/>
      <c r="BE1" s="1"/>
      <c r="BF1" s="1"/>
      <c r="BG1" s="1"/>
      <c r="BH1" s="1"/>
      <c r="BI1" s="1"/>
      <c r="BJ1" s="1"/>
      <c r="BK1" s="1"/>
      <c r="BL1" s="1"/>
      <c r="BM1" s="1"/>
      <c r="BN1" s="1"/>
      <c r="BO1" s="1"/>
      <c r="BY1" s="191" t="str">
        <f>IF(SUM(CP9:CV38)&gt;=1,"CHECK","")</f>
        <v/>
      </c>
      <c r="BZ1" s="191"/>
      <c r="CA1" s="191"/>
      <c r="CB1" s="191"/>
      <c r="CC1" s="55" t="str">
        <f>IF(SUM(CP9:CV38)&gt;=1,"当事者の学校種と被害児童生徒の学校種が一致していませんが間違いありませんか。","")</f>
        <v/>
      </c>
    </row>
    <row r="2" spans="1:100" customFormat="1" ht="36" customHeight="1" x14ac:dyDescent="0.2">
      <c r="A2" s="153" t="s">
        <v>174</v>
      </c>
      <c r="B2" s="243"/>
      <c r="C2" s="243"/>
      <c r="D2" s="243"/>
      <c r="E2" s="243"/>
      <c r="F2" s="243"/>
      <c r="G2" s="243"/>
      <c r="H2" s="243"/>
      <c r="I2" s="243"/>
      <c r="J2" s="243"/>
      <c r="K2" s="243"/>
      <c r="L2" s="243"/>
      <c r="M2" s="243"/>
      <c r="N2" s="154"/>
      <c r="O2" s="157"/>
      <c r="P2" s="158"/>
      <c r="Q2" s="158"/>
      <c r="R2" s="158"/>
      <c r="S2" s="158"/>
      <c r="T2" s="158"/>
      <c r="U2" s="158"/>
      <c r="V2" s="158"/>
      <c r="W2" s="158"/>
      <c r="X2" s="158"/>
      <c r="Y2" s="158"/>
      <c r="Z2" s="158"/>
      <c r="AA2" s="158"/>
      <c r="AB2" s="158"/>
      <c r="AC2" s="158"/>
      <c r="AD2" s="159"/>
      <c r="AE2" s="155" t="s">
        <v>0</v>
      </c>
      <c r="AF2" s="156"/>
      <c r="AG2" s="156"/>
      <c r="AH2" s="156"/>
      <c r="AI2" s="156"/>
      <c r="AJ2" s="156"/>
      <c r="AK2" s="156"/>
      <c r="AL2" s="156"/>
      <c r="AM2" s="156"/>
      <c r="AN2" s="157"/>
      <c r="AO2" s="158"/>
      <c r="AP2" s="158"/>
      <c r="AQ2" s="158"/>
      <c r="AR2" s="158"/>
      <c r="AS2" s="158"/>
      <c r="AT2" s="158"/>
      <c r="AU2" s="158"/>
      <c r="AV2" s="158"/>
      <c r="AW2" s="158"/>
      <c r="AX2" s="158"/>
      <c r="AY2" s="158"/>
      <c r="AZ2" s="158"/>
      <c r="BA2" s="158"/>
      <c r="BB2" s="158"/>
      <c r="BC2" s="158"/>
      <c r="BD2" s="159"/>
      <c r="BE2" s="1"/>
      <c r="BF2" s="1"/>
      <c r="CC2" s="55" t="str">
        <f>IF(SUM(CP9:CV38)&gt;=1,"（一致していなくても間違いない場合はそのまま提出してかまいません。）","")</f>
        <v/>
      </c>
    </row>
    <row r="3" spans="1:100" customFormat="1" ht="36" customHeight="1" x14ac:dyDescent="0.2">
      <c r="A3" s="155" t="s">
        <v>1</v>
      </c>
      <c r="B3" s="156"/>
      <c r="C3" s="156"/>
      <c r="D3" s="156"/>
      <c r="E3" s="156"/>
      <c r="F3" s="156"/>
      <c r="G3" s="156"/>
      <c r="H3" s="156"/>
      <c r="I3" s="156"/>
      <c r="J3" s="156"/>
      <c r="K3" s="156"/>
      <c r="L3" s="156"/>
      <c r="M3" s="156"/>
      <c r="N3" s="156"/>
      <c r="O3" s="160"/>
      <c r="P3" s="160"/>
      <c r="Q3" s="155" t="s">
        <v>52</v>
      </c>
      <c r="R3" s="156"/>
      <c r="S3" s="156"/>
      <c r="T3" s="156"/>
      <c r="U3" s="156"/>
      <c r="V3" s="156"/>
      <c r="W3" s="156"/>
      <c r="X3" s="156"/>
      <c r="Y3" s="157"/>
      <c r="Z3" s="158"/>
      <c r="AA3" s="158"/>
      <c r="AB3" s="158"/>
      <c r="AC3" s="158"/>
      <c r="AD3" s="158"/>
      <c r="AE3" s="158"/>
      <c r="AF3" s="158"/>
      <c r="AG3" s="158"/>
      <c r="AH3" s="158"/>
      <c r="AI3" s="155" t="s">
        <v>2</v>
      </c>
      <c r="AJ3" s="156"/>
      <c r="AK3" s="156"/>
      <c r="AL3" s="156"/>
      <c r="AM3" s="161"/>
      <c r="AN3" s="162"/>
      <c r="AO3" s="158"/>
      <c r="AP3" s="158"/>
      <c r="AQ3" s="158"/>
      <c r="AR3" s="158"/>
      <c r="AS3" s="158"/>
      <c r="AT3" s="158"/>
      <c r="AU3" s="158"/>
      <c r="AV3" s="158"/>
      <c r="AW3" s="158"/>
      <c r="AX3" s="158"/>
      <c r="AY3" s="158"/>
      <c r="AZ3" s="158"/>
      <c r="BA3" s="158"/>
      <c r="BB3" s="158"/>
      <c r="BC3" s="158"/>
      <c r="BD3" s="159"/>
      <c r="BE3" s="1"/>
      <c r="BF3" s="1"/>
      <c r="BO3" s="3"/>
      <c r="BP3" s="3"/>
      <c r="BQ3" s="3"/>
      <c r="BR3" s="3"/>
      <c r="BS3" s="3"/>
      <c r="BY3" s="191" t="str">
        <f>IF(COUNTIF(CC9:CC38,"未入力の欄があります。")&gt;=1,"未入力あり","")</f>
        <v/>
      </c>
      <c r="BZ3" s="191"/>
      <c r="CA3" s="191"/>
      <c r="CB3" s="191"/>
    </row>
    <row r="4" spans="1:100" ht="18" customHeight="1" thickBot="1" x14ac:dyDescent="0.25">
      <c r="Q4" s="5"/>
      <c r="R4" s="5"/>
      <c r="S4" s="5"/>
      <c r="T4" s="5"/>
      <c r="U4" s="5"/>
      <c r="V4" s="5"/>
      <c r="W4" s="5"/>
      <c r="X4" s="5"/>
      <c r="Y4" s="5"/>
      <c r="Z4" s="5"/>
      <c r="AA4" s="5"/>
      <c r="BO4" s="6"/>
      <c r="BY4" s="192" t="s">
        <v>31</v>
      </c>
      <c r="BZ4" s="192"/>
      <c r="CA4" s="192"/>
      <c r="CB4" s="192"/>
    </row>
    <row r="5" spans="1:100" ht="33.9" customHeight="1" x14ac:dyDescent="0.2">
      <c r="A5" s="163" t="s">
        <v>32</v>
      </c>
      <c r="B5" s="229" t="s">
        <v>211</v>
      </c>
      <c r="C5" s="230"/>
      <c r="D5" s="230"/>
      <c r="E5" s="230"/>
      <c r="F5" s="230"/>
      <c r="G5" s="230"/>
      <c r="H5" s="230"/>
      <c r="I5" s="230"/>
      <c r="J5" s="230"/>
      <c r="K5" s="230"/>
      <c r="L5" s="230"/>
      <c r="M5" s="231"/>
      <c r="N5" s="166" t="s">
        <v>33</v>
      </c>
      <c r="O5" s="167"/>
      <c r="P5" s="167"/>
      <c r="Q5" s="172" t="s">
        <v>34</v>
      </c>
      <c r="R5" s="196" t="s">
        <v>180</v>
      </c>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8"/>
      <c r="BO5" s="234" t="s">
        <v>175</v>
      </c>
      <c r="BP5" s="235"/>
      <c r="BQ5" s="240" t="s">
        <v>177</v>
      </c>
      <c r="BR5" s="175" t="s">
        <v>178</v>
      </c>
      <c r="BS5" s="176"/>
      <c r="BT5" s="176"/>
      <c r="BU5" s="176"/>
      <c r="BV5" s="177"/>
      <c r="BW5" s="193" t="s">
        <v>8</v>
      </c>
      <c r="BX5" s="194"/>
      <c r="BY5" s="194"/>
      <c r="BZ5" s="194"/>
      <c r="CA5" s="194"/>
      <c r="CB5" s="195"/>
    </row>
    <row r="6" spans="1:100" ht="33.9" customHeight="1" x14ac:dyDescent="0.2">
      <c r="A6" s="164"/>
      <c r="B6" s="107"/>
      <c r="C6" s="107"/>
      <c r="D6" s="107"/>
      <c r="E6" s="107"/>
      <c r="F6" s="107"/>
      <c r="G6" s="107"/>
      <c r="H6" s="107"/>
      <c r="I6" s="107"/>
      <c r="J6" s="107"/>
      <c r="K6" s="107"/>
      <c r="L6" s="107"/>
      <c r="M6" s="107"/>
      <c r="N6" s="168"/>
      <c r="O6" s="169"/>
      <c r="P6" s="169"/>
      <c r="Q6" s="173"/>
      <c r="R6" s="178" t="s">
        <v>158</v>
      </c>
      <c r="S6" s="179"/>
      <c r="T6" s="179"/>
      <c r="U6" s="180"/>
      <c r="V6" s="178" t="s">
        <v>12</v>
      </c>
      <c r="W6" s="179"/>
      <c r="X6" s="179"/>
      <c r="Y6" s="179"/>
      <c r="Z6" s="179"/>
      <c r="AA6" s="180"/>
      <c r="AB6" s="178" t="s">
        <v>13</v>
      </c>
      <c r="AC6" s="179"/>
      <c r="AD6" s="180"/>
      <c r="AE6" s="178" t="s">
        <v>30</v>
      </c>
      <c r="AF6" s="179"/>
      <c r="AG6" s="179"/>
      <c r="AH6" s="179"/>
      <c r="AI6" s="179"/>
      <c r="AJ6" s="179"/>
      <c r="AK6" s="179"/>
      <c r="AL6" s="179"/>
      <c r="AM6" s="180"/>
      <c r="AN6" s="178" t="s">
        <v>14</v>
      </c>
      <c r="AO6" s="179"/>
      <c r="AP6" s="179"/>
      <c r="AQ6" s="180"/>
      <c r="AR6" s="184" t="s">
        <v>15</v>
      </c>
      <c r="AS6" s="185"/>
      <c r="AT6" s="185"/>
      <c r="AU6" s="185"/>
      <c r="AV6" s="185"/>
      <c r="AW6" s="185"/>
      <c r="AX6" s="185"/>
      <c r="AY6" s="186"/>
      <c r="AZ6" s="185" t="s">
        <v>16</v>
      </c>
      <c r="BA6" s="185"/>
      <c r="BB6" s="185"/>
      <c r="BC6" s="185"/>
      <c r="BD6" s="185"/>
      <c r="BE6" s="185"/>
      <c r="BF6" s="185"/>
      <c r="BG6" s="185"/>
      <c r="BH6" s="185"/>
      <c r="BI6" s="185"/>
      <c r="BJ6" s="185"/>
      <c r="BK6" s="185"/>
      <c r="BL6" s="185"/>
      <c r="BM6" s="185"/>
      <c r="BN6" s="187"/>
      <c r="BO6" s="236"/>
      <c r="BP6" s="237"/>
      <c r="BQ6" s="241"/>
      <c r="BR6" s="199" t="s">
        <v>169</v>
      </c>
      <c r="BS6" s="202" t="s">
        <v>17</v>
      </c>
      <c r="BT6" s="202" t="s">
        <v>18</v>
      </c>
      <c r="BU6" s="202" t="s">
        <v>19</v>
      </c>
      <c r="BV6" s="188" t="s">
        <v>20</v>
      </c>
      <c r="BW6" s="199" t="s">
        <v>21</v>
      </c>
      <c r="BX6" s="202" t="s">
        <v>22</v>
      </c>
      <c r="BY6" s="202" t="s">
        <v>170</v>
      </c>
      <c r="BZ6" s="202" t="s">
        <v>171</v>
      </c>
      <c r="CA6" s="202" t="s">
        <v>23</v>
      </c>
      <c r="CB6" s="205" t="s">
        <v>24</v>
      </c>
    </row>
    <row r="7" spans="1:100" ht="50.4" customHeight="1" x14ac:dyDescent="0.2">
      <c r="A7" s="244"/>
      <c r="B7" s="232" t="s">
        <v>205</v>
      </c>
      <c r="C7" s="232"/>
      <c r="D7" s="232" t="s">
        <v>206</v>
      </c>
      <c r="E7" s="232"/>
      <c r="F7" s="232" t="s">
        <v>207</v>
      </c>
      <c r="G7" s="232"/>
      <c r="H7" s="232" t="s">
        <v>208</v>
      </c>
      <c r="I7" s="232"/>
      <c r="J7" s="232" t="s">
        <v>209</v>
      </c>
      <c r="K7" s="232"/>
      <c r="L7" s="232" t="s">
        <v>210</v>
      </c>
      <c r="M7" s="233"/>
      <c r="N7" s="171"/>
      <c r="O7" s="171"/>
      <c r="P7" s="171"/>
      <c r="Q7" s="173"/>
      <c r="R7" s="181"/>
      <c r="S7" s="182"/>
      <c r="T7" s="182"/>
      <c r="U7" s="183"/>
      <c r="V7" s="181"/>
      <c r="W7" s="182"/>
      <c r="X7" s="182"/>
      <c r="Y7" s="182"/>
      <c r="Z7" s="182"/>
      <c r="AA7" s="183"/>
      <c r="AB7" s="181"/>
      <c r="AC7" s="182"/>
      <c r="AD7" s="183"/>
      <c r="AE7" s="181"/>
      <c r="AF7" s="182"/>
      <c r="AG7" s="182"/>
      <c r="AH7" s="182"/>
      <c r="AI7" s="182"/>
      <c r="AJ7" s="182"/>
      <c r="AK7" s="182"/>
      <c r="AL7" s="182"/>
      <c r="AM7" s="183"/>
      <c r="AN7" s="181"/>
      <c r="AO7" s="182"/>
      <c r="AP7" s="182"/>
      <c r="AQ7" s="183"/>
      <c r="AR7" s="184" t="s">
        <v>25</v>
      </c>
      <c r="AS7" s="185"/>
      <c r="AT7" s="185"/>
      <c r="AU7" s="186"/>
      <c r="AV7" s="184" t="s">
        <v>26</v>
      </c>
      <c r="AW7" s="185"/>
      <c r="AX7" s="185"/>
      <c r="AY7" s="186"/>
      <c r="AZ7" s="185" t="s">
        <v>163</v>
      </c>
      <c r="BA7" s="185"/>
      <c r="BB7" s="186"/>
      <c r="BC7" s="184" t="s">
        <v>27</v>
      </c>
      <c r="BD7" s="185"/>
      <c r="BE7" s="186"/>
      <c r="BF7" s="185"/>
      <c r="BG7" s="185"/>
      <c r="BH7" s="186"/>
      <c r="BI7" s="184" t="s">
        <v>28</v>
      </c>
      <c r="BJ7" s="185"/>
      <c r="BK7" s="186"/>
      <c r="BL7" s="184" t="s">
        <v>29</v>
      </c>
      <c r="BM7" s="185"/>
      <c r="BN7" s="187"/>
      <c r="BO7" s="238"/>
      <c r="BP7" s="239"/>
      <c r="BQ7" s="241"/>
      <c r="BR7" s="200"/>
      <c r="BS7" s="203"/>
      <c r="BT7" s="203"/>
      <c r="BU7" s="203"/>
      <c r="BV7" s="189"/>
      <c r="BW7" s="200"/>
      <c r="BX7" s="203"/>
      <c r="BY7" s="203"/>
      <c r="BZ7" s="203"/>
      <c r="CA7" s="203"/>
      <c r="CB7" s="206"/>
      <c r="CD7" s="152" t="s">
        <v>165</v>
      </c>
      <c r="CE7" s="120" t="s">
        <v>60</v>
      </c>
      <c r="CF7" s="121"/>
      <c r="CG7" s="121"/>
      <c r="CH7" s="121"/>
      <c r="CI7" s="121"/>
      <c r="CJ7" s="121"/>
      <c r="CK7" s="121"/>
      <c r="CL7" s="121"/>
      <c r="CM7" s="121"/>
      <c r="CN7" s="122"/>
      <c r="CP7" s="120" t="s">
        <v>61</v>
      </c>
      <c r="CQ7" s="121"/>
      <c r="CR7" s="121"/>
      <c r="CS7" s="121"/>
      <c r="CT7" s="121"/>
      <c r="CU7" s="121"/>
      <c r="CV7" s="122"/>
    </row>
    <row r="8" spans="1:100" ht="42" customHeight="1" thickBot="1" x14ac:dyDescent="0.25">
      <c r="A8" s="245"/>
      <c r="B8" s="116" t="s">
        <v>81</v>
      </c>
      <c r="C8" s="116" t="s">
        <v>82</v>
      </c>
      <c r="D8" s="116" t="s">
        <v>81</v>
      </c>
      <c r="E8" s="116" t="s">
        <v>82</v>
      </c>
      <c r="F8" s="116" t="s">
        <v>81</v>
      </c>
      <c r="G8" s="116" t="s">
        <v>82</v>
      </c>
      <c r="H8" s="116" t="s">
        <v>81</v>
      </c>
      <c r="I8" s="116" t="s">
        <v>82</v>
      </c>
      <c r="J8" s="116" t="s">
        <v>81</v>
      </c>
      <c r="K8" s="116" t="s">
        <v>82</v>
      </c>
      <c r="L8" s="116" t="s">
        <v>81</v>
      </c>
      <c r="M8" s="118" t="s">
        <v>82</v>
      </c>
      <c r="N8" s="108" t="s">
        <v>9</v>
      </c>
      <c r="O8" s="45" t="s">
        <v>10</v>
      </c>
      <c r="P8" s="45" t="s">
        <v>11</v>
      </c>
      <c r="Q8" s="174"/>
      <c r="R8" s="43" t="s">
        <v>162</v>
      </c>
      <c r="S8" s="43" t="s">
        <v>159</v>
      </c>
      <c r="T8" s="43" t="s">
        <v>160</v>
      </c>
      <c r="U8" s="43" t="s">
        <v>161</v>
      </c>
      <c r="V8" s="43" t="s">
        <v>53</v>
      </c>
      <c r="W8" s="43" t="s">
        <v>54</v>
      </c>
      <c r="X8" s="43" t="s">
        <v>55</v>
      </c>
      <c r="Y8" s="43" t="s">
        <v>56</v>
      </c>
      <c r="Z8" s="43" t="s">
        <v>57</v>
      </c>
      <c r="AA8" s="43" t="s">
        <v>58</v>
      </c>
      <c r="AB8" s="43" t="s">
        <v>53</v>
      </c>
      <c r="AC8" s="43" t="s">
        <v>54</v>
      </c>
      <c r="AD8" s="43" t="s">
        <v>55</v>
      </c>
      <c r="AE8" s="43" t="s">
        <v>43</v>
      </c>
      <c r="AF8" s="43" t="s">
        <v>44</v>
      </c>
      <c r="AG8" s="43" t="s">
        <v>45</v>
      </c>
      <c r="AH8" s="43" t="s">
        <v>46</v>
      </c>
      <c r="AI8" s="43" t="s">
        <v>47</v>
      </c>
      <c r="AJ8" s="43" t="s">
        <v>48</v>
      </c>
      <c r="AK8" s="43" t="s">
        <v>49</v>
      </c>
      <c r="AL8" s="43" t="s">
        <v>50</v>
      </c>
      <c r="AM8" s="43" t="s">
        <v>51</v>
      </c>
      <c r="AN8" s="43" t="s">
        <v>53</v>
      </c>
      <c r="AO8" s="43" t="s">
        <v>54</v>
      </c>
      <c r="AP8" s="43" t="s">
        <v>212</v>
      </c>
      <c r="AQ8" s="43" t="s">
        <v>151</v>
      </c>
      <c r="AR8" s="43" t="s">
        <v>53</v>
      </c>
      <c r="AS8" s="43" t="s">
        <v>54</v>
      </c>
      <c r="AT8" s="43" t="s">
        <v>213</v>
      </c>
      <c r="AU8" s="43" t="s">
        <v>214</v>
      </c>
      <c r="AV8" s="43" t="s">
        <v>53</v>
      </c>
      <c r="AW8" s="43" t="s">
        <v>54</v>
      </c>
      <c r="AX8" s="43" t="s">
        <v>213</v>
      </c>
      <c r="AY8" s="43" t="s">
        <v>214</v>
      </c>
      <c r="AZ8" s="43" t="s">
        <v>159</v>
      </c>
      <c r="BA8" s="43" t="s">
        <v>160</v>
      </c>
      <c r="BB8" s="43" t="s">
        <v>161</v>
      </c>
      <c r="BC8" s="43" t="s">
        <v>53</v>
      </c>
      <c r="BD8" s="43" t="s">
        <v>54</v>
      </c>
      <c r="BE8" s="43" t="s">
        <v>55</v>
      </c>
      <c r="BF8" s="43" t="s">
        <v>56</v>
      </c>
      <c r="BG8" s="43" t="s">
        <v>57</v>
      </c>
      <c r="BH8" s="43" t="s">
        <v>58</v>
      </c>
      <c r="BI8" s="43" t="s">
        <v>53</v>
      </c>
      <c r="BJ8" s="43" t="s">
        <v>54</v>
      </c>
      <c r="BK8" s="43" t="s">
        <v>55</v>
      </c>
      <c r="BL8" s="43" t="s">
        <v>53</v>
      </c>
      <c r="BM8" s="43" t="s">
        <v>54</v>
      </c>
      <c r="BN8" s="43" t="s">
        <v>55</v>
      </c>
      <c r="BO8" s="46" t="s">
        <v>35</v>
      </c>
      <c r="BP8" s="47" t="s">
        <v>36</v>
      </c>
      <c r="BQ8" s="242"/>
      <c r="BR8" s="201"/>
      <c r="BS8" s="204"/>
      <c r="BT8" s="204"/>
      <c r="BU8" s="204"/>
      <c r="BV8" s="190"/>
      <c r="BW8" s="201"/>
      <c r="BX8" s="204"/>
      <c r="BY8" s="204"/>
      <c r="BZ8" s="204"/>
      <c r="CA8" s="204"/>
      <c r="CB8" s="207"/>
      <c r="CD8" s="152"/>
      <c r="CE8" s="52" t="s">
        <v>59</v>
      </c>
      <c r="CF8" s="52" t="s">
        <v>62</v>
      </c>
      <c r="CG8" s="52" t="s">
        <v>63</v>
      </c>
      <c r="CH8" s="52" t="s">
        <v>64</v>
      </c>
      <c r="CI8" s="52" t="s">
        <v>65</v>
      </c>
      <c r="CJ8" s="52" t="s">
        <v>66</v>
      </c>
      <c r="CK8" s="52" t="s">
        <v>67</v>
      </c>
      <c r="CL8" s="52" t="s">
        <v>68</v>
      </c>
      <c r="CM8" s="52" t="s">
        <v>69</v>
      </c>
      <c r="CN8" s="52" t="s">
        <v>70</v>
      </c>
      <c r="CP8" s="53" t="s">
        <v>166</v>
      </c>
      <c r="CQ8" s="52" t="s">
        <v>71</v>
      </c>
      <c r="CR8" s="52" t="s">
        <v>72</v>
      </c>
      <c r="CS8" s="52" t="s">
        <v>73</v>
      </c>
      <c r="CT8" s="52" t="s">
        <v>74</v>
      </c>
      <c r="CU8" s="52" t="s">
        <v>75</v>
      </c>
      <c r="CV8" s="52" t="s">
        <v>76</v>
      </c>
    </row>
    <row r="9" spans="1:100" ht="23.4" customHeight="1" thickBot="1" x14ac:dyDescent="0.25">
      <c r="A9" s="109">
        <v>1</v>
      </c>
      <c r="B9" s="117"/>
      <c r="C9" s="117"/>
      <c r="D9" s="117"/>
      <c r="E9" s="117"/>
      <c r="F9" s="117"/>
      <c r="G9" s="117"/>
      <c r="H9" s="117"/>
      <c r="I9" s="117"/>
      <c r="J9" s="117"/>
      <c r="K9" s="117"/>
      <c r="L9" s="117"/>
      <c r="M9" s="119"/>
      <c r="N9" s="113"/>
      <c r="O9" s="20"/>
      <c r="P9" s="20"/>
      <c r="Q9" s="21"/>
      <c r="R9" s="32"/>
      <c r="S9" s="31"/>
      <c r="T9" s="31"/>
      <c r="U9" s="31"/>
      <c r="V9" s="32"/>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3"/>
      <c r="BG9" s="31"/>
      <c r="BH9" s="31"/>
      <c r="BI9" s="31"/>
      <c r="BJ9" s="31"/>
      <c r="BK9" s="31"/>
      <c r="BL9" s="31"/>
      <c r="BM9" s="31"/>
      <c r="BN9" s="34"/>
      <c r="BO9" s="20"/>
      <c r="BP9" s="20"/>
      <c r="BQ9" s="28"/>
      <c r="BR9" s="7"/>
      <c r="BS9" s="9"/>
      <c r="BT9" s="9"/>
      <c r="BU9" s="9"/>
      <c r="BV9" s="8"/>
      <c r="BW9" s="7"/>
      <c r="BX9" s="9"/>
      <c r="BY9" s="9"/>
      <c r="BZ9" s="9"/>
      <c r="CA9" s="9"/>
      <c r="CB9" s="10"/>
      <c r="CC9" s="56" t="str">
        <f>IF((AND(CD9&gt;=1,CN9&gt;=1)),"未入力の欄があります。","")</f>
        <v/>
      </c>
      <c r="CD9" s="53">
        <f t="shared" ref="CD9:CD38" si="0">COUNTA(N9,O9,P9)</f>
        <v>0</v>
      </c>
      <c r="CE9" s="53">
        <f t="shared" ref="CE9:CE38" si="1">IF(OR(COUNTA(N9,O9,P9)=1,COUNTA(N9,O9,P9)=2),1,0)</f>
        <v>0</v>
      </c>
      <c r="CF9" s="53">
        <f t="shared" ref="CF9:CF38" si="2">IF(COUNTA(Q9)=0,1,0)</f>
        <v>1</v>
      </c>
      <c r="CG9" s="53">
        <f t="shared" ref="CG9:CG38" si="3">IF(SUM(R9:BN9)=0,1,0)</f>
        <v>1</v>
      </c>
      <c r="CH9" s="53">
        <f t="shared" ref="CH9:CH38" si="4">IF(COUNTA(BO9)=0,1,0)</f>
        <v>1</v>
      </c>
      <c r="CI9" s="53">
        <f t="shared" ref="CI9:CI38" si="5">IF(COUNTA(BP9)=0,1,0)</f>
        <v>1</v>
      </c>
      <c r="CJ9" s="53">
        <f t="shared" ref="CJ9:CJ38" si="6">IF(COUNTA(BQ9)=0,1,0)</f>
        <v>1</v>
      </c>
      <c r="CK9" s="53">
        <f>IF(COUNTA(#REF!)=0,1,0)</f>
        <v>0</v>
      </c>
      <c r="CL9" s="53">
        <f t="shared" ref="CL9:CL38" si="7">IF(SUM(BR9:BV9)=0,1,0)</f>
        <v>1</v>
      </c>
      <c r="CM9" s="53">
        <f t="shared" ref="CM9:CM38" si="8">IF(SUM(BW9:CB9)=0,1,0)</f>
        <v>1</v>
      </c>
      <c r="CN9" s="53">
        <f>SUM(CE9:CM9)</f>
        <v>7</v>
      </c>
      <c r="CP9" s="73" t="str">
        <f t="shared" ref="CP9:CP38" si="9">IF(AND(N9="ア 幼稚園",SUM(V9:BN9)&gt;=1),1,"")</f>
        <v/>
      </c>
      <c r="CQ9" s="54" t="str">
        <f t="shared" ref="CQ9:CQ38" si="10">IF(AND(N9="イ 小学校",SUM(R9:U9,AB9:BN9)&gt;=1),1,"")</f>
        <v/>
      </c>
      <c r="CR9" s="54" t="str">
        <f t="shared" ref="CR9:CR38" si="11">IF(AND(N9="ウ 中学校",SUM(R9:AA9,AE9:BN9)&gt;=1),1,"")</f>
        <v/>
      </c>
      <c r="CS9" s="54" t="str">
        <f t="shared" ref="CS9:CS38" si="12">IF(AND(N9="エ 義務教育学校",SUM(R9:AD9,AN9:BN9)&gt;=1),1,"")</f>
        <v/>
      </c>
      <c r="CT9" s="54" t="str">
        <f t="shared" ref="CT9:CT38" si="13">IF(AND(N9="オ 高等学校",SUM(R9:AM9,AR9:BN9)&gt;=1),1,"")</f>
        <v/>
      </c>
      <c r="CU9" s="54" t="str">
        <f t="shared" ref="CU9:CU38" si="14">IF(AND(N9="カ 中等教育学校",SUM(R9:AQ9,AZ9:BN9)&gt;=1),1,"")</f>
        <v/>
      </c>
      <c r="CV9" s="54" t="str">
        <f t="shared" ref="CV9:CV38" si="15">IF(AND(N9="キ 特別支援学校",SUM(R9:AY9)&gt;=1),1,"")</f>
        <v/>
      </c>
    </row>
    <row r="10" spans="1:100" ht="23.4" customHeight="1" thickBot="1" x14ac:dyDescent="0.25">
      <c r="A10" s="110">
        <v>2</v>
      </c>
      <c r="B10" s="117"/>
      <c r="C10" s="117"/>
      <c r="D10" s="117"/>
      <c r="E10" s="117"/>
      <c r="F10" s="117"/>
      <c r="G10" s="117"/>
      <c r="H10" s="117"/>
      <c r="I10" s="117"/>
      <c r="J10" s="117"/>
      <c r="K10" s="117"/>
      <c r="L10" s="117"/>
      <c r="M10" s="119"/>
      <c r="N10" s="114"/>
      <c r="O10" s="23"/>
      <c r="P10" s="23"/>
      <c r="Q10" s="24"/>
      <c r="R10" s="35"/>
      <c r="S10" s="36"/>
      <c r="T10" s="36"/>
      <c r="U10" s="36"/>
      <c r="V10" s="35"/>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7"/>
      <c r="BG10" s="36"/>
      <c r="BH10" s="36"/>
      <c r="BI10" s="36"/>
      <c r="BJ10" s="36"/>
      <c r="BK10" s="36"/>
      <c r="BL10" s="36"/>
      <c r="BM10" s="36"/>
      <c r="BN10" s="38"/>
      <c r="BO10" s="23"/>
      <c r="BP10" s="23"/>
      <c r="BQ10" s="28"/>
      <c r="BR10" s="11"/>
      <c r="BS10" s="13"/>
      <c r="BT10" s="13"/>
      <c r="BU10" s="13"/>
      <c r="BV10" s="12"/>
      <c r="BW10" s="11"/>
      <c r="BX10" s="13"/>
      <c r="BY10" s="13"/>
      <c r="BZ10" s="13"/>
      <c r="CA10" s="13"/>
      <c r="CB10" s="14"/>
      <c r="CC10" s="56" t="str">
        <f t="shared" ref="CC10:CC38" si="16">IF((AND(CD10&gt;=1,CN10&gt;=1)),"未入力の欄があります。","")</f>
        <v/>
      </c>
      <c r="CD10" s="53">
        <f t="shared" si="0"/>
        <v>0</v>
      </c>
      <c r="CE10" s="53">
        <f t="shared" si="1"/>
        <v>0</v>
      </c>
      <c r="CF10" s="53">
        <f t="shared" si="2"/>
        <v>1</v>
      </c>
      <c r="CG10" s="53">
        <f t="shared" si="3"/>
        <v>1</v>
      </c>
      <c r="CH10" s="53">
        <f t="shared" si="4"/>
        <v>1</v>
      </c>
      <c r="CI10" s="53">
        <f t="shared" si="5"/>
        <v>1</v>
      </c>
      <c r="CJ10" s="53">
        <f t="shared" si="6"/>
        <v>1</v>
      </c>
      <c r="CK10" s="53">
        <f>IF(COUNTA(#REF!)=0,1,0)</f>
        <v>0</v>
      </c>
      <c r="CL10" s="53">
        <f t="shared" si="7"/>
        <v>1</v>
      </c>
      <c r="CM10" s="53">
        <f t="shared" si="8"/>
        <v>1</v>
      </c>
      <c r="CN10" s="53">
        <f t="shared" ref="CN10:CN38" si="17">SUM(CE10:CM10)</f>
        <v>7</v>
      </c>
      <c r="CP10" s="73" t="str">
        <f t="shared" si="9"/>
        <v/>
      </c>
      <c r="CQ10" s="54" t="str">
        <f t="shared" si="10"/>
        <v/>
      </c>
      <c r="CR10" s="54" t="str">
        <f t="shared" si="11"/>
        <v/>
      </c>
      <c r="CS10" s="54" t="str">
        <f t="shared" si="12"/>
        <v/>
      </c>
      <c r="CT10" s="54" t="str">
        <f t="shared" si="13"/>
        <v/>
      </c>
      <c r="CU10" s="54" t="str">
        <f t="shared" si="14"/>
        <v/>
      </c>
      <c r="CV10" s="54" t="str">
        <f t="shared" si="15"/>
        <v/>
      </c>
    </row>
    <row r="11" spans="1:100" ht="23.4" customHeight="1" thickBot="1" x14ac:dyDescent="0.25">
      <c r="A11" s="110">
        <v>3</v>
      </c>
      <c r="B11" s="117"/>
      <c r="C11" s="117"/>
      <c r="D11" s="117"/>
      <c r="E11" s="117"/>
      <c r="F11" s="117"/>
      <c r="G11" s="117"/>
      <c r="H11" s="117"/>
      <c r="I11" s="117"/>
      <c r="J11" s="117"/>
      <c r="K11" s="117"/>
      <c r="L11" s="117"/>
      <c r="M11" s="119"/>
      <c r="N11" s="114"/>
      <c r="O11" s="23"/>
      <c r="P11" s="23"/>
      <c r="Q11" s="24"/>
      <c r="R11" s="35"/>
      <c r="S11" s="36"/>
      <c r="T11" s="36"/>
      <c r="U11" s="36"/>
      <c r="V11" s="35"/>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7"/>
      <c r="BG11" s="36"/>
      <c r="BH11" s="36"/>
      <c r="BI11" s="36"/>
      <c r="BJ11" s="36"/>
      <c r="BK11" s="36"/>
      <c r="BL11" s="36"/>
      <c r="BM11" s="36"/>
      <c r="BN11" s="38"/>
      <c r="BO11" s="23"/>
      <c r="BP11" s="23"/>
      <c r="BQ11" s="28"/>
      <c r="BR11" s="11"/>
      <c r="BS11" s="13"/>
      <c r="BT11" s="13"/>
      <c r="BU11" s="13"/>
      <c r="BV11" s="12"/>
      <c r="BW11" s="11"/>
      <c r="BX11" s="13"/>
      <c r="BY11" s="13"/>
      <c r="BZ11" s="13"/>
      <c r="CA11" s="13"/>
      <c r="CB11" s="14"/>
      <c r="CC11" s="56" t="str">
        <f t="shared" si="16"/>
        <v/>
      </c>
      <c r="CD11" s="53">
        <f t="shared" si="0"/>
        <v>0</v>
      </c>
      <c r="CE11" s="53">
        <f t="shared" si="1"/>
        <v>0</v>
      </c>
      <c r="CF11" s="53">
        <f t="shared" si="2"/>
        <v>1</v>
      </c>
      <c r="CG11" s="53">
        <f t="shared" si="3"/>
        <v>1</v>
      </c>
      <c r="CH11" s="53">
        <f t="shared" si="4"/>
        <v>1</v>
      </c>
      <c r="CI11" s="53">
        <f t="shared" si="5"/>
        <v>1</v>
      </c>
      <c r="CJ11" s="53">
        <f t="shared" si="6"/>
        <v>1</v>
      </c>
      <c r="CK11" s="53">
        <f>IF(COUNTA(#REF!)=0,1,0)</f>
        <v>0</v>
      </c>
      <c r="CL11" s="53">
        <f t="shared" si="7"/>
        <v>1</v>
      </c>
      <c r="CM11" s="53">
        <f t="shared" si="8"/>
        <v>1</v>
      </c>
      <c r="CN11" s="53">
        <f t="shared" si="17"/>
        <v>7</v>
      </c>
      <c r="CP11" s="73" t="str">
        <f t="shared" si="9"/>
        <v/>
      </c>
      <c r="CQ11" s="54" t="str">
        <f t="shared" si="10"/>
        <v/>
      </c>
      <c r="CR11" s="54" t="str">
        <f t="shared" si="11"/>
        <v/>
      </c>
      <c r="CS11" s="54" t="str">
        <f t="shared" si="12"/>
        <v/>
      </c>
      <c r="CT11" s="54" t="str">
        <f t="shared" si="13"/>
        <v/>
      </c>
      <c r="CU11" s="54" t="str">
        <f t="shared" si="14"/>
        <v/>
      </c>
      <c r="CV11" s="54" t="str">
        <f t="shared" si="15"/>
        <v/>
      </c>
    </row>
    <row r="12" spans="1:100" ht="23.4" customHeight="1" thickBot="1" x14ac:dyDescent="0.25">
      <c r="A12" s="110">
        <v>4</v>
      </c>
      <c r="B12" s="117"/>
      <c r="C12" s="117"/>
      <c r="D12" s="117"/>
      <c r="E12" s="117"/>
      <c r="F12" s="117"/>
      <c r="G12" s="117"/>
      <c r="H12" s="117"/>
      <c r="I12" s="117"/>
      <c r="J12" s="117"/>
      <c r="K12" s="117"/>
      <c r="L12" s="117"/>
      <c r="M12" s="119"/>
      <c r="N12" s="114"/>
      <c r="O12" s="23"/>
      <c r="P12" s="23"/>
      <c r="Q12" s="24"/>
      <c r="R12" s="35"/>
      <c r="S12" s="36"/>
      <c r="T12" s="36"/>
      <c r="U12" s="36"/>
      <c r="V12" s="35"/>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7"/>
      <c r="BG12" s="36"/>
      <c r="BH12" s="36"/>
      <c r="BI12" s="36"/>
      <c r="BJ12" s="36"/>
      <c r="BK12" s="36"/>
      <c r="BL12" s="36"/>
      <c r="BM12" s="36"/>
      <c r="BN12" s="38"/>
      <c r="BO12" s="23"/>
      <c r="BP12" s="23"/>
      <c r="BQ12" s="28"/>
      <c r="BR12" s="11"/>
      <c r="BS12" s="13"/>
      <c r="BT12" s="13"/>
      <c r="BU12" s="13"/>
      <c r="BV12" s="12"/>
      <c r="BW12" s="11"/>
      <c r="BX12" s="13"/>
      <c r="BY12" s="13"/>
      <c r="BZ12" s="13"/>
      <c r="CA12" s="13"/>
      <c r="CB12" s="14"/>
      <c r="CC12" s="56" t="str">
        <f t="shared" si="16"/>
        <v/>
      </c>
      <c r="CD12" s="53">
        <f t="shared" si="0"/>
        <v>0</v>
      </c>
      <c r="CE12" s="53">
        <f t="shared" si="1"/>
        <v>0</v>
      </c>
      <c r="CF12" s="53">
        <f t="shared" si="2"/>
        <v>1</v>
      </c>
      <c r="CG12" s="53">
        <f t="shared" si="3"/>
        <v>1</v>
      </c>
      <c r="CH12" s="53">
        <f t="shared" si="4"/>
        <v>1</v>
      </c>
      <c r="CI12" s="53">
        <f t="shared" si="5"/>
        <v>1</v>
      </c>
      <c r="CJ12" s="53">
        <f t="shared" si="6"/>
        <v>1</v>
      </c>
      <c r="CK12" s="53">
        <f>IF(COUNTA(#REF!)=0,1,0)</f>
        <v>0</v>
      </c>
      <c r="CL12" s="53">
        <f t="shared" si="7"/>
        <v>1</v>
      </c>
      <c r="CM12" s="53">
        <f t="shared" si="8"/>
        <v>1</v>
      </c>
      <c r="CN12" s="53">
        <f t="shared" si="17"/>
        <v>7</v>
      </c>
      <c r="CP12" s="73" t="str">
        <f t="shared" si="9"/>
        <v/>
      </c>
      <c r="CQ12" s="54" t="str">
        <f t="shared" si="10"/>
        <v/>
      </c>
      <c r="CR12" s="54" t="str">
        <f t="shared" si="11"/>
        <v/>
      </c>
      <c r="CS12" s="54" t="str">
        <f t="shared" si="12"/>
        <v/>
      </c>
      <c r="CT12" s="54" t="str">
        <f t="shared" si="13"/>
        <v/>
      </c>
      <c r="CU12" s="54" t="str">
        <f t="shared" si="14"/>
        <v/>
      </c>
      <c r="CV12" s="54" t="str">
        <f t="shared" si="15"/>
        <v/>
      </c>
    </row>
    <row r="13" spans="1:100" ht="23.4" customHeight="1" thickBot="1" x14ac:dyDescent="0.25">
      <c r="A13" s="110">
        <v>5</v>
      </c>
      <c r="B13" s="117"/>
      <c r="C13" s="117"/>
      <c r="D13" s="117"/>
      <c r="E13" s="117"/>
      <c r="F13" s="117"/>
      <c r="G13" s="117"/>
      <c r="H13" s="117"/>
      <c r="I13" s="117"/>
      <c r="J13" s="117"/>
      <c r="K13" s="117"/>
      <c r="L13" s="117"/>
      <c r="M13" s="119"/>
      <c r="N13" s="114"/>
      <c r="O13" s="23"/>
      <c r="P13" s="23"/>
      <c r="Q13" s="24"/>
      <c r="R13" s="35"/>
      <c r="S13" s="36"/>
      <c r="T13" s="36"/>
      <c r="U13" s="36"/>
      <c r="V13" s="35"/>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7"/>
      <c r="BG13" s="36"/>
      <c r="BH13" s="36"/>
      <c r="BI13" s="36"/>
      <c r="BJ13" s="36"/>
      <c r="BK13" s="36"/>
      <c r="BL13" s="36"/>
      <c r="BM13" s="36"/>
      <c r="BN13" s="38"/>
      <c r="BO13" s="23"/>
      <c r="BP13" s="23"/>
      <c r="BQ13" s="28"/>
      <c r="BR13" s="11"/>
      <c r="BS13" s="13"/>
      <c r="BT13" s="13"/>
      <c r="BU13" s="13"/>
      <c r="BV13" s="12"/>
      <c r="BW13" s="11"/>
      <c r="BX13" s="13"/>
      <c r="BY13" s="13"/>
      <c r="BZ13" s="13"/>
      <c r="CA13" s="13"/>
      <c r="CB13" s="14"/>
      <c r="CC13" s="56" t="str">
        <f t="shared" si="16"/>
        <v/>
      </c>
      <c r="CD13" s="53">
        <f t="shared" si="0"/>
        <v>0</v>
      </c>
      <c r="CE13" s="53">
        <f t="shared" si="1"/>
        <v>0</v>
      </c>
      <c r="CF13" s="53">
        <f t="shared" si="2"/>
        <v>1</v>
      </c>
      <c r="CG13" s="53">
        <f t="shared" si="3"/>
        <v>1</v>
      </c>
      <c r="CH13" s="53">
        <f t="shared" si="4"/>
        <v>1</v>
      </c>
      <c r="CI13" s="53">
        <f t="shared" si="5"/>
        <v>1</v>
      </c>
      <c r="CJ13" s="53">
        <f t="shared" si="6"/>
        <v>1</v>
      </c>
      <c r="CK13" s="53">
        <f>IF(COUNTA(#REF!)=0,1,0)</f>
        <v>0</v>
      </c>
      <c r="CL13" s="53">
        <f t="shared" si="7"/>
        <v>1</v>
      </c>
      <c r="CM13" s="53">
        <f t="shared" si="8"/>
        <v>1</v>
      </c>
      <c r="CN13" s="53">
        <f t="shared" si="17"/>
        <v>7</v>
      </c>
      <c r="CP13" s="73" t="str">
        <f t="shared" si="9"/>
        <v/>
      </c>
      <c r="CQ13" s="54" t="str">
        <f t="shared" si="10"/>
        <v/>
      </c>
      <c r="CR13" s="54" t="str">
        <f t="shared" si="11"/>
        <v/>
      </c>
      <c r="CS13" s="54" t="str">
        <f t="shared" si="12"/>
        <v/>
      </c>
      <c r="CT13" s="54" t="str">
        <f t="shared" si="13"/>
        <v/>
      </c>
      <c r="CU13" s="54" t="str">
        <f t="shared" si="14"/>
        <v/>
      </c>
      <c r="CV13" s="54" t="str">
        <f t="shared" si="15"/>
        <v/>
      </c>
    </row>
    <row r="14" spans="1:100" ht="23.4" customHeight="1" thickBot="1" x14ac:dyDescent="0.25">
      <c r="A14" s="110">
        <v>6</v>
      </c>
      <c r="B14" s="117"/>
      <c r="C14" s="117"/>
      <c r="D14" s="117"/>
      <c r="E14" s="117"/>
      <c r="F14" s="117"/>
      <c r="G14" s="117"/>
      <c r="H14" s="117"/>
      <c r="I14" s="117"/>
      <c r="J14" s="117"/>
      <c r="K14" s="117"/>
      <c r="L14" s="117"/>
      <c r="M14" s="119"/>
      <c r="N14" s="114"/>
      <c r="O14" s="23"/>
      <c r="P14" s="23"/>
      <c r="Q14" s="24"/>
      <c r="R14" s="35"/>
      <c r="S14" s="36"/>
      <c r="T14" s="36"/>
      <c r="U14" s="36"/>
      <c r="V14" s="35"/>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7"/>
      <c r="BG14" s="36"/>
      <c r="BH14" s="36"/>
      <c r="BI14" s="36"/>
      <c r="BJ14" s="36"/>
      <c r="BK14" s="36"/>
      <c r="BL14" s="36"/>
      <c r="BM14" s="36"/>
      <c r="BN14" s="38"/>
      <c r="BO14" s="23"/>
      <c r="BP14" s="23"/>
      <c r="BQ14" s="28"/>
      <c r="BR14" s="11"/>
      <c r="BS14" s="13"/>
      <c r="BT14" s="13"/>
      <c r="BU14" s="13"/>
      <c r="BV14" s="12"/>
      <c r="BW14" s="11"/>
      <c r="BX14" s="13"/>
      <c r="BY14" s="13"/>
      <c r="BZ14" s="13"/>
      <c r="CA14" s="13"/>
      <c r="CB14" s="14"/>
      <c r="CC14" s="56" t="str">
        <f t="shared" si="16"/>
        <v/>
      </c>
      <c r="CD14" s="53">
        <f t="shared" si="0"/>
        <v>0</v>
      </c>
      <c r="CE14" s="53">
        <f t="shared" si="1"/>
        <v>0</v>
      </c>
      <c r="CF14" s="53">
        <f t="shared" si="2"/>
        <v>1</v>
      </c>
      <c r="CG14" s="53">
        <f t="shared" si="3"/>
        <v>1</v>
      </c>
      <c r="CH14" s="53">
        <f t="shared" si="4"/>
        <v>1</v>
      </c>
      <c r="CI14" s="53">
        <f t="shared" si="5"/>
        <v>1</v>
      </c>
      <c r="CJ14" s="53">
        <f t="shared" si="6"/>
        <v>1</v>
      </c>
      <c r="CK14" s="53">
        <f>IF(COUNTA(#REF!)=0,1,0)</f>
        <v>0</v>
      </c>
      <c r="CL14" s="53">
        <f t="shared" si="7"/>
        <v>1</v>
      </c>
      <c r="CM14" s="53">
        <f t="shared" si="8"/>
        <v>1</v>
      </c>
      <c r="CN14" s="53">
        <f t="shared" si="17"/>
        <v>7</v>
      </c>
      <c r="CP14" s="73" t="str">
        <f t="shared" si="9"/>
        <v/>
      </c>
      <c r="CQ14" s="54" t="str">
        <f t="shared" si="10"/>
        <v/>
      </c>
      <c r="CR14" s="54" t="str">
        <f t="shared" si="11"/>
        <v/>
      </c>
      <c r="CS14" s="54" t="str">
        <f t="shared" si="12"/>
        <v/>
      </c>
      <c r="CT14" s="54" t="str">
        <f t="shared" si="13"/>
        <v/>
      </c>
      <c r="CU14" s="54" t="str">
        <f t="shared" si="14"/>
        <v/>
      </c>
      <c r="CV14" s="54" t="str">
        <f t="shared" si="15"/>
        <v/>
      </c>
    </row>
    <row r="15" spans="1:100" ht="23.4" customHeight="1" thickBot="1" x14ac:dyDescent="0.25">
      <c r="A15" s="110">
        <v>7</v>
      </c>
      <c r="B15" s="117"/>
      <c r="C15" s="117"/>
      <c r="D15" s="117"/>
      <c r="E15" s="117"/>
      <c r="F15" s="117"/>
      <c r="G15" s="117"/>
      <c r="H15" s="117"/>
      <c r="I15" s="117"/>
      <c r="J15" s="117"/>
      <c r="K15" s="117"/>
      <c r="L15" s="117"/>
      <c r="M15" s="119"/>
      <c r="N15" s="114"/>
      <c r="O15" s="23"/>
      <c r="P15" s="23"/>
      <c r="Q15" s="24"/>
      <c r="R15" s="35"/>
      <c r="S15" s="36"/>
      <c r="T15" s="36"/>
      <c r="U15" s="36"/>
      <c r="V15" s="35"/>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7"/>
      <c r="BG15" s="36"/>
      <c r="BH15" s="36"/>
      <c r="BI15" s="36"/>
      <c r="BJ15" s="36"/>
      <c r="BK15" s="36"/>
      <c r="BL15" s="36"/>
      <c r="BM15" s="36"/>
      <c r="BN15" s="38"/>
      <c r="BO15" s="23"/>
      <c r="BP15" s="23"/>
      <c r="BQ15" s="28"/>
      <c r="BR15" s="11"/>
      <c r="BS15" s="13"/>
      <c r="BT15" s="13"/>
      <c r="BU15" s="13"/>
      <c r="BV15" s="12"/>
      <c r="BW15" s="11"/>
      <c r="BX15" s="13"/>
      <c r="BY15" s="13"/>
      <c r="BZ15" s="13"/>
      <c r="CA15" s="13"/>
      <c r="CB15" s="14"/>
      <c r="CC15" s="56" t="str">
        <f t="shared" si="16"/>
        <v/>
      </c>
      <c r="CD15" s="53">
        <f t="shared" si="0"/>
        <v>0</v>
      </c>
      <c r="CE15" s="53">
        <f t="shared" si="1"/>
        <v>0</v>
      </c>
      <c r="CF15" s="53">
        <f t="shared" si="2"/>
        <v>1</v>
      </c>
      <c r="CG15" s="53">
        <f t="shared" si="3"/>
        <v>1</v>
      </c>
      <c r="CH15" s="53">
        <f t="shared" si="4"/>
        <v>1</v>
      </c>
      <c r="CI15" s="53">
        <f t="shared" si="5"/>
        <v>1</v>
      </c>
      <c r="CJ15" s="53">
        <f t="shared" si="6"/>
        <v>1</v>
      </c>
      <c r="CK15" s="53">
        <f>IF(COUNTA(#REF!)=0,1,0)</f>
        <v>0</v>
      </c>
      <c r="CL15" s="53">
        <f t="shared" si="7"/>
        <v>1</v>
      </c>
      <c r="CM15" s="53">
        <f t="shared" si="8"/>
        <v>1</v>
      </c>
      <c r="CN15" s="53">
        <f t="shared" si="17"/>
        <v>7</v>
      </c>
      <c r="CP15" s="73" t="str">
        <f t="shared" si="9"/>
        <v/>
      </c>
      <c r="CQ15" s="54" t="str">
        <f t="shared" si="10"/>
        <v/>
      </c>
      <c r="CR15" s="54" t="str">
        <f t="shared" si="11"/>
        <v/>
      </c>
      <c r="CS15" s="54" t="str">
        <f t="shared" si="12"/>
        <v/>
      </c>
      <c r="CT15" s="54" t="str">
        <f t="shared" si="13"/>
        <v/>
      </c>
      <c r="CU15" s="54" t="str">
        <f t="shared" si="14"/>
        <v/>
      </c>
      <c r="CV15" s="54" t="str">
        <f t="shared" si="15"/>
        <v/>
      </c>
    </row>
    <row r="16" spans="1:100" ht="23.4" customHeight="1" thickBot="1" x14ac:dyDescent="0.25">
      <c r="A16" s="110">
        <v>8</v>
      </c>
      <c r="B16" s="117"/>
      <c r="C16" s="117"/>
      <c r="D16" s="117"/>
      <c r="E16" s="117"/>
      <c r="F16" s="117"/>
      <c r="G16" s="117"/>
      <c r="H16" s="117"/>
      <c r="I16" s="117"/>
      <c r="J16" s="117"/>
      <c r="K16" s="117"/>
      <c r="L16" s="117"/>
      <c r="M16" s="119"/>
      <c r="N16" s="114"/>
      <c r="O16" s="23"/>
      <c r="P16" s="23"/>
      <c r="Q16" s="24"/>
      <c r="R16" s="35"/>
      <c r="S16" s="36"/>
      <c r="T16" s="36"/>
      <c r="U16" s="36"/>
      <c r="V16" s="35"/>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7"/>
      <c r="BG16" s="36"/>
      <c r="BH16" s="36"/>
      <c r="BI16" s="36"/>
      <c r="BJ16" s="36"/>
      <c r="BK16" s="36"/>
      <c r="BL16" s="36"/>
      <c r="BM16" s="36"/>
      <c r="BN16" s="38"/>
      <c r="BO16" s="23"/>
      <c r="BP16" s="23"/>
      <c r="BQ16" s="28"/>
      <c r="BR16" s="11"/>
      <c r="BS16" s="13"/>
      <c r="BT16" s="13"/>
      <c r="BU16" s="13"/>
      <c r="BV16" s="12"/>
      <c r="BW16" s="11"/>
      <c r="BX16" s="13"/>
      <c r="BY16" s="13"/>
      <c r="BZ16" s="13"/>
      <c r="CA16" s="13"/>
      <c r="CB16" s="14"/>
      <c r="CC16" s="56" t="str">
        <f t="shared" si="16"/>
        <v/>
      </c>
      <c r="CD16" s="53">
        <f t="shared" si="0"/>
        <v>0</v>
      </c>
      <c r="CE16" s="53">
        <f t="shared" si="1"/>
        <v>0</v>
      </c>
      <c r="CF16" s="53">
        <f t="shared" si="2"/>
        <v>1</v>
      </c>
      <c r="CG16" s="53">
        <f t="shared" si="3"/>
        <v>1</v>
      </c>
      <c r="CH16" s="53">
        <f t="shared" si="4"/>
        <v>1</v>
      </c>
      <c r="CI16" s="53">
        <f t="shared" si="5"/>
        <v>1</v>
      </c>
      <c r="CJ16" s="53">
        <f t="shared" si="6"/>
        <v>1</v>
      </c>
      <c r="CK16" s="53">
        <f>IF(COUNTA(#REF!)=0,1,0)</f>
        <v>0</v>
      </c>
      <c r="CL16" s="53">
        <f t="shared" si="7"/>
        <v>1</v>
      </c>
      <c r="CM16" s="53">
        <f t="shared" si="8"/>
        <v>1</v>
      </c>
      <c r="CN16" s="53">
        <f t="shared" si="17"/>
        <v>7</v>
      </c>
      <c r="CP16" s="73" t="str">
        <f t="shared" si="9"/>
        <v/>
      </c>
      <c r="CQ16" s="54" t="str">
        <f t="shared" si="10"/>
        <v/>
      </c>
      <c r="CR16" s="54" t="str">
        <f t="shared" si="11"/>
        <v/>
      </c>
      <c r="CS16" s="54" t="str">
        <f t="shared" si="12"/>
        <v/>
      </c>
      <c r="CT16" s="54" t="str">
        <f t="shared" si="13"/>
        <v/>
      </c>
      <c r="CU16" s="54" t="str">
        <f t="shared" si="14"/>
        <v/>
      </c>
      <c r="CV16" s="54" t="str">
        <f t="shared" si="15"/>
        <v/>
      </c>
    </row>
    <row r="17" spans="1:100" ht="23.4" customHeight="1" thickBot="1" x14ac:dyDescent="0.25">
      <c r="A17" s="110">
        <v>9</v>
      </c>
      <c r="B17" s="117"/>
      <c r="C17" s="117"/>
      <c r="D17" s="117"/>
      <c r="E17" s="117"/>
      <c r="F17" s="117"/>
      <c r="G17" s="117"/>
      <c r="H17" s="117"/>
      <c r="I17" s="117"/>
      <c r="J17" s="117"/>
      <c r="K17" s="117"/>
      <c r="L17" s="117"/>
      <c r="M17" s="119"/>
      <c r="N17" s="114"/>
      <c r="O17" s="23"/>
      <c r="P17" s="23"/>
      <c r="Q17" s="24"/>
      <c r="R17" s="35"/>
      <c r="S17" s="36"/>
      <c r="T17" s="36"/>
      <c r="U17" s="36"/>
      <c r="V17" s="35"/>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7"/>
      <c r="BG17" s="36"/>
      <c r="BH17" s="36"/>
      <c r="BI17" s="36"/>
      <c r="BJ17" s="36"/>
      <c r="BK17" s="36"/>
      <c r="BL17" s="36"/>
      <c r="BM17" s="36"/>
      <c r="BN17" s="38"/>
      <c r="BO17" s="23"/>
      <c r="BP17" s="23"/>
      <c r="BQ17" s="28"/>
      <c r="BR17" s="11"/>
      <c r="BS17" s="13"/>
      <c r="BT17" s="13"/>
      <c r="BU17" s="13"/>
      <c r="BV17" s="12"/>
      <c r="BW17" s="11"/>
      <c r="BX17" s="13"/>
      <c r="BY17" s="13"/>
      <c r="BZ17" s="13"/>
      <c r="CA17" s="13"/>
      <c r="CB17" s="14"/>
      <c r="CC17" s="56" t="str">
        <f t="shared" si="16"/>
        <v/>
      </c>
      <c r="CD17" s="53">
        <f t="shared" si="0"/>
        <v>0</v>
      </c>
      <c r="CE17" s="53">
        <f t="shared" si="1"/>
        <v>0</v>
      </c>
      <c r="CF17" s="53">
        <f t="shared" si="2"/>
        <v>1</v>
      </c>
      <c r="CG17" s="53">
        <f t="shared" si="3"/>
        <v>1</v>
      </c>
      <c r="CH17" s="53">
        <f t="shared" si="4"/>
        <v>1</v>
      </c>
      <c r="CI17" s="53">
        <f t="shared" si="5"/>
        <v>1</v>
      </c>
      <c r="CJ17" s="53">
        <f t="shared" si="6"/>
        <v>1</v>
      </c>
      <c r="CK17" s="53">
        <f>IF(COUNTA(#REF!)=0,1,0)</f>
        <v>0</v>
      </c>
      <c r="CL17" s="53">
        <f t="shared" si="7"/>
        <v>1</v>
      </c>
      <c r="CM17" s="53">
        <f t="shared" si="8"/>
        <v>1</v>
      </c>
      <c r="CN17" s="53">
        <f t="shared" si="17"/>
        <v>7</v>
      </c>
      <c r="CP17" s="73" t="str">
        <f t="shared" si="9"/>
        <v/>
      </c>
      <c r="CQ17" s="54" t="str">
        <f t="shared" si="10"/>
        <v/>
      </c>
      <c r="CR17" s="54" t="str">
        <f t="shared" si="11"/>
        <v/>
      </c>
      <c r="CS17" s="54" t="str">
        <f t="shared" si="12"/>
        <v/>
      </c>
      <c r="CT17" s="54" t="str">
        <f t="shared" si="13"/>
        <v/>
      </c>
      <c r="CU17" s="54" t="str">
        <f t="shared" si="14"/>
        <v/>
      </c>
      <c r="CV17" s="54" t="str">
        <f t="shared" si="15"/>
        <v/>
      </c>
    </row>
    <row r="18" spans="1:100" ht="23.4" customHeight="1" thickBot="1" x14ac:dyDescent="0.25">
      <c r="A18" s="111">
        <v>10</v>
      </c>
      <c r="B18" s="117"/>
      <c r="C18" s="117"/>
      <c r="D18" s="117"/>
      <c r="E18" s="117"/>
      <c r="F18" s="117"/>
      <c r="G18" s="117"/>
      <c r="H18" s="117"/>
      <c r="I18" s="117"/>
      <c r="J18" s="117"/>
      <c r="K18" s="117"/>
      <c r="L18" s="117"/>
      <c r="M18" s="119"/>
      <c r="N18" s="114"/>
      <c r="O18" s="23"/>
      <c r="P18" s="23"/>
      <c r="Q18" s="24"/>
      <c r="R18" s="35"/>
      <c r="S18" s="36"/>
      <c r="T18" s="36"/>
      <c r="U18" s="36"/>
      <c r="V18" s="35"/>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7"/>
      <c r="BG18" s="36"/>
      <c r="BH18" s="36"/>
      <c r="BI18" s="36"/>
      <c r="BJ18" s="36"/>
      <c r="BK18" s="36"/>
      <c r="BL18" s="36"/>
      <c r="BM18" s="36"/>
      <c r="BN18" s="38"/>
      <c r="BO18" s="23"/>
      <c r="BP18" s="23"/>
      <c r="BQ18" s="28"/>
      <c r="BR18" s="11"/>
      <c r="BS18" s="13"/>
      <c r="BT18" s="13"/>
      <c r="BU18" s="13"/>
      <c r="BV18" s="12"/>
      <c r="BW18" s="11"/>
      <c r="BX18" s="13"/>
      <c r="BY18" s="13"/>
      <c r="BZ18" s="13"/>
      <c r="CA18" s="13"/>
      <c r="CB18" s="14"/>
      <c r="CC18" s="56" t="str">
        <f t="shared" si="16"/>
        <v/>
      </c>
      <c r="CD18" s="53">
        <f t="shared" si="0"/>
        <v>0</v>
      </c>
      <c r="CE18" s="53">
        <f t="shared" si="1"/>
        <v>0</v>
      </c>
      <c r="CF18" s="53">
        <f t="shared" si="2"/>
        <v>1</v>
      </c>
      <c r="CG18" s="53">
        <f t="shared" si="3"/>
        <v>1</v>
      </c>
      <c r="CH18" s="53">
        <f t="shared" si="4"/>
        <v>1</v>
      </c>
      <c r="CI18" s="53">
        <f t="shared" si="5"/>
        <v>1</v>
      </c>
      <c r="CJ18" s="53">
        <f t="shared" si="6"/>
        <v>1</v>
      </c>
      <c r="CK18" s="53">
        <f>IF(COUNTA(#REF!)=0,1,0)</f>
        <v>0</v>
      </c>
      <c r="CL18" s="53">
        <f t="shared" si="7"/>
        <v>1</v>
      </c>
      <c r="CM18" s="53">
        <f t="shared" si="8"/>
        <v>1</v>
      </c>
      <c r="CN18" s="53">
        <f t="shared" si="17"/>
        <v>7</v>
      </c>
      <c r="CP18" s="73" t="str">
        <f t="shared" si="9"/>
        <v/>
      </c>
      <c r="CQ18" s="54" t="str">
        <f t="shared" si="10"/>
        <v/>
      </c>
      <c r="CR18" s="54" t="str">
        <f t="shared" si="11"/>
        <v/>
      </c>
      <c r="CS18" s="54" t="str">
        <f t="shared" si="12"/>
        <v/>
      </c>
      <c r="CT18" s="54" t="str">
        <f t="shared" si="13"/>
        <v/>
      </c>
      <c r="CU18" s="54" t="str">
        <f t="shared" si="14"/>
        <v/>
      </c>
      <c r="CV18" s="54" t="str">
        <f t="shared" si="15"/>
        <v/>
      </c>
    </row>
    <row r="19" spans="1:100" ht="23.4" customHeight="1" thickBot="1" x14ac:dyDescent="0.25">
      <c r="A19" s="111">
        <v>11</v>
      </c>
      <c r="B19" s="117"/>
      <c r="C19" s="117"/>
      <c r="D19" s="117"/>
      <c r="E19" s="117"/>
      <c r="F19" s="117"/>
      <c r="G19" s="117"/>
      <c r="H19" s="117"/>
      <c r="I19" s="117"/>
      <c r="J19" s="117"/>
      <c r="K19" s="117"/>
      <c r="L19" s="117"/>
      <c r="M19" s="119"/>
      <c r="N19" s="114"/>
      <c r="O19" s="23"/>
      <c r="P19" s="23"/>
      <c r="Q19" s="24"/>
      <c r="R19" s="35"/>
      <c r="S19" s="36"/>
      <c r="T19" s="36"/>
      <c r="U19" s="36"/>
      <c r="V19" s="35"/>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7"/>
      <c r="BG19" s="36"/>
      <c r="BH19" s="36"/>
      <c r="BI19" s="36"/>
      <c r="BJ19" s="36"/>
      <c r="BK19" s="36"/>
      <c r="BL19" s="36"/>
      <c r="BM19" s="36"/>
      <c r="BN19" s="38"/>
      <c r="BO19" s="23"/>
      <c r="BP19" s="23"/>
      <c r="BQ19" s="28"/>
      <c r="BR19" s="11"/>
      <c r="BS19" s="13"/>
      <c r="BT19" s="13"/>
      <c r="BU19" s="13"/>
      <c r="BV19" s="12"/>
      <c r="BW19" s="11"/>
      <c r="BX19" s="13"/>
      <c r="BY19" s="13"/>
      <c r="BZ19" s="13"/>
      <c r="CA19" s="13"/>
      <c r="CB19" s="14"/>
      <c r="CC19" s="56" t="str">
        <f t="shared" si="16"/>
        <v/>
      </c>
      <c r="CD19" s="53">
        <f t="shared" si="0"/>
        <v>0</v>
      </c>
      <c r="CE19" s="53">
        <f t="shared" si="1"/>
        <v>0</v>
      </c>
      <c r="CF19" s="53">
        <f t="shared" si="2"/>
        <v>1</v>
      </c>
      <c r="CG19" s="53">
        <f t="shared" si="3"/>
        <v>1</v>
      </c>
      <c r="CH19" s="53">
        <f t="shared" si="4"/>
        <v>1</v>
      </c>
      <c r="CI19" s="53">
        <f t="shared" si="5"/>
        <v>1</v>
      </c>
      <c r="CJ19" s="53">
        <f t="shared" si="6"/>
        <v>1</v>
      </c>
      <c r="CK19" s="53">
        <f>IF(COUNTA(#REF!)=0,1,0)</f>
        <v>0</v>
      </c>
      <c r="CL19" s="53">
        <f t="shared" si="7"/>
        <v>1</v>
      </c>
      <c r="CM19" s="53">
        <f t="shared" si="8"/>
        <v>1</v>
      </c>
      <c r="CN19" s="53">
        <f t="shared" si="17"/>
        <v>7</v>
      </c>
      <c r="CP19" s="73" t="str">
        <f t="shared" si="9"/>
        <v/>
      </c>
      <c r="CQ19" s="54" t="str">
        <f t="shared" si="10"/>
        <v/>
      </c>
      <c r="CR19" s="54" t="str">
        <f t="shared" si="11"/>
        <v/>
      </c>
      <c r="CS19" s="54" t="str">
        <f t="shared" si="12"/>
        <v/>
      </c>
      <c r="CT19" s="54" t="str">
        <f t="shared" si="13"/>
        <v/>
      </c>
      <c r="CU19" s="54" t="str">
        <f t="shared" si="14"/>
        <v/>
      </c>
      <c r="CV19" s="54" t="str">
        <f t="shared" si="15"/>
        <v/>
      </c>
    </row>
    <row r="20" spans="1:100" ht="23.4" customHeight="1" thickBot="1" x14ac:dyDescent="0.25">
      <c r="A20" s="110">
        <v>12</v>
      </c>
      <c r="B20" s="117"/>
      <c r="C20" s="117"/>
      <c r="D20" s="117"/>
      <c r="E20" s="117"/>
      <c r="F20" s="117"/>
      <c r="G20" s="117"/>
      <c r="H20" s="117"/>
      <c r="I20" s="117"/>
      <c r="J20" s="117"/>
      <c r="K20" s="117"/>
      <c r="L20" s="117"/>
      <c r="M20" s="119"/>
      <c r="N20" s="114"/>
      <c r="O20" s="23"/>
      <c r="P20" s="23"/>
      <c r="Q20" s="24"/>
      <c r="R20" s="35"/>
      <c r="S20" s="36"/>
      <c r="T20" s="36"/>
      <c r="U20" s="36"/>
      <c r="V20" s="35"/>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7"/>
      <c r="BG20" s="36"/>
      <c r="BH20" s="36"/>
      <c r="BI20" s="36"/>
      <c r="BJ20" s="36"/>
      <c r="BK20" s="36"/>
      <c r="BL20" s="36"/>
      <c r="BM20" s="36"/>
      <c r="BN20" s="38"/>
      <c r="BO20" s="23"/>
      <c r="BP20" s="23"/>
      <c r="BQ20" s="28"/>
      <c r="BR20" s="11"/>
      <c r="BS20" s="13"/>
      <c r="BT20" s="13"/>
      <c r="BU20" s="13"/>
      <c r="BV20" s="12"/>
      <c r="BW20" s="11"/>
      <c r="BX20" s="13"/>
      <c r="BY20" s="13"/>
      <c r="BZ20" s="13"/>
      <c r="CA20" s="13"/>
      <c r="CB20" s="14"/>
      <c r="CC20" s="56" t="str">
        <f t="shared" si="16"/>
        <v/>
      </c>
      <c r="CD20" s="53">
        <f t="shared" si="0"/>
        <v>0</v>
      </c>
      <c r="CE20" s="53">
        <f t="shared" si="1"/>
        <v>0</v>
      </c>
      <c r="CF20" s="53">
        <f t="shared" si="2"/>
        <v>1</v>
      </c>
      <c r="CG20" s="53">
        <f t="shared" si="3"/>
        <v>1</v>
      </c>
      <c r="CH20" s="53">
        <f t="shared" si="4"/>
        <v>1</v>
      </c>
      <c r="CI20" s="53">
        <f t="shared" si="5"/>
        <v>1</v>
      </c>
      <c r="CJ20" s="53">
        <f t="shared" si="6"/>
        <v>1</v>
      </c>
      <c r="CK20" s="53">
        <f>IF(COUNTA(#REF!)=0,1,0)</f>
        <v>0</v>
      </c>
      <c r="CL20" s="53">
        <f t="shared" si="7"/>
        <v>1</v>
      </c>
      <c r="CM20" s="53">
        <f t="shared" si="8"/>
        <v>1</v>
      </c>
      <c r="CN20" s="53">
        <f t="shared" si="17"/>
        <v>7</v>
      </c>
      <c r="CP20" s="73" t="str">
        <f t="shared" si="9"/>
        <v/>
      </c>
      <c r="CQ20" s="54" t="str">
        <f t="shared" si="10"/>
        <v/>
      </c>
      <c r="CR20" s="54" t="str">
        <f t="shared" si="11"/>
        <v/>
      </c>
      <c r="CS20" s="54" t="str">
        <f t="shared" si="12"/>
        <v/>
      </c>
      <c r="CT20" s="54" t="str">
        <f t="shared" si="13"/>
        <v/>
      </c>
      <c r="CU20" s="54" t="str">
        <f t="shared" si="14"/>
        <v/>
      </c>
      <c r="CV20" s="54" t="str">
        <f t="shared" si="15"/>
        <v/>
      </c>
    </row>
    <row r="21" spans="1:100" ht="23.4" customHeight="1" thickBot="1" x14ac:dyDescent="0.25">
      <c r="A21" s="110">
        <v>13</v>
      </c>
      <c r="B21" s="117"/>
      <c r="C21" s="117"/>
      <c r="D21" s="117"/>
      <c r="E21" s="117"/>
      <c r="F21" s="117"/>
      <c r="G21" s="117"/>
      <c r="H21" s="117"/>
      <c r="I21" s="117"/>
      <c r="J21" s="117"/>
      <c r="K21" s="117"/>
      <c r="L21" s="117"/>
      <c r="M21" s="119"/>
      <c r="N21" s="114"/>
      <c r="O21" s="23"/>
      <c r="P21" s="23"/>
      <c r="Q21" s="24"/>
      <c r="R21" s="35"/>
      <c r="S21" s="36"/>
      <c r="T21" s="36"/>
      <c r="U21" s="36"/>
      <c r="V21" s="35"/>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7"/>
      <c r="BG21" s="36"/>
      <c r="BH21" s="36"/>
      <c r="BI21" s="36"/>
      <c r="BJ21" s="36"/>
      <c r="BK21" s="36"/>
      <c r="BL21" s="36"/>
      <c r="BM21" s="36"/>
      <c r="BN21" s="38"/>
      <c r="BO21" s="23"/>
      <c r="BP21" s="23"/>
      <c r="BQ21" s="28"/>
      <c r="BR21" s="11"/>
      <c r="BS21" s="13"/>
      <c r="BT21" s="13"/>
      <c r="BU21" s="13"/>
      <c r="BV21" s="12"/>
      <c r="BW21" s="11"/>
      <c r="BX21" s="13"/>
      <c r="BY21" s="13"/>
      <c r="BZ21" s="13"/>
      <c r="CA21" s="13"/>
      <c r="CB21" s="14"/>
      <c r="CC21" s="56" t="str">
        <f t="shared" si="16"/>
        <v/>
      </c>
      <c r="CD21" s="53">
        <f t="shared" si="0"/>
        <v>0</v>
      </c>
      <c r="CE21" s="53">
        <f t="shared" si="1"/>
        <v>0</v>
      </c>
      <c r="CF21" s="53">
        <f t="shared" si="2"/>
        <v>1</v>
      </c>
      <c r="CG21" s="53">
        <f t="shared" si="3"/>
        <v>1</v>
      </c>
      <c r="CH21" s="53">
        <f t="shared" si="4"/>
        <v>1</v>
      </c>
      <c r="CI21" s="53">
        <f t="shared" si="5"/>
        <v>1</v>
      </c>
      <c r="CJ21" s="53">
        <f t="shared" si="6"/>
        <v>1</v>
      </c>
      <c r="CK21" s="53">
        <f>IF(COUNTA(#REF!)=0,1,0)</f>
        <v>0</v>
      </c>
      <c r="CL21" s="53">
        <f t="shared" si="7"/>
        <v>1</v>
      </c>
      <c r="CM21" s="53">
        <f t="shared" si="8"/>
        <v>1</v>
      </c>
      <c r="CN21" s="53">
        <f t="shared" si="17"/>
        <v>7</v>
      </c>
      <c r="CP21" s="73" t="str">
        <f t="shared" si="9"/>
        <v/>
      </c>
      <c r="CQ21" s="54" t="str">
        <f t="shared" si="10"/>
        <v/>
      </c>
      <c r="CR21" s="54" t="str">
        <f t="shared" si="11"/>
        <v/>
      </c>
      <c r="CS21" s="54" t="str">
        <f t="shared" si="12"/>
        <v/>
      </c>
      <c r="CT21" s="54" t="str">
        <f t="shared" si="13"/>
        <v/>
      </c>
      <c r="CU21" s="54" t="str">
        <f t="shared" si="14"/>
        <v/>
      </c>
      <c r="CV21" s="54" t="str">
        <f t="shared" si="15"/>
        <v/>
      </c>
    </row>
    <row r="22" spans="1:100" ht="23.4" customHeight="1" thickBot="1" x14ac:dyDescent="0.25">
      <c r="A22" s="110">
        <v>14</v>
      </c>
      <c r="B22" s="117"/>
      <c r="C22" s="117"/>
      <c r="D22" s="117"/>
      <c r="E22" s="117"/>
      <c r="F22" s="117"/>
      <c r="G22" s="117"/>
      <c r="H22" s="117"/>
      <c r="I22" s="117"/>
      <c r="J22" s="117"/>
      <c r="K22" s="117"/>
      <c r="L22" s="117"/>
      <c r="M22" s="119"/>
      <c r="N22" s="114"/>
      <c r="O22" s="23"/>
      <c r="P22" s="23"/>
      <c r="Q22" s="24"/>
      <c r="R22" s="35"/>
      <c r="S22" s="36"/>
      <c r="T22" s="36"/>
      <c r="U22" s="36"/>
      <c r="V22" s="35"/>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7"/>
      <c r="BG22" s="36"/>
      <c r="BH22" s="36"/>
      <c r="BI22" s="36"/>
      <c r="BJ22" s="36"/>
      <c r="BK22" s="36"/>
      <c r="BL22" s="36"/>
      <c r="BM22" s="36"/>
      <c r="BN22" s="38"/>
      <c r="BO22" s="23"/>
      <c r="BP22" s="23"/>
      <c r="BQ22" s="28"/>
      <c r="BR22" s="11"/>
      <c r="BS22" s="13"/>
      <c r="BT22" s="13"/>
      <c r="BU22" s="13"/>
      <c r="BV22" s="12"/>
      <c r="BW22" s="11"/>
      <c r="BX22" s="13"/>
      <c r="BY22" s="13"/>
      <c r="BZ22" s="13"/>
      <c r="CA22" s="13"/>
      <c r="CB22" s="14"/>
      <c r="CC22" s="56" t="str">
        <f t="shared" si="16"/>
        <v/>
      </c>
      <c r="CD22" s="53">
        <f t="shared" si="0"/>
        <v>0</v>
      </c>
      <c r="CE22" s="53">
        <f t="shared" si="1"/>
        <v>0</v>
      </c>
      <c r="CF22" s="53">
        <f t="shared" si="2"/>
        <v>1</v>
      </c>
      <c r="CG22" s="53">
        <f t="shared" si="3"/>
        <v>1</v>
      </c>
      <c r="CH22" s="53">
        <f t="shared" si="4"/>
        <v>1</v>
      </c>
      <c r="CI22" s="53">
        <f t="shared" si="5"/>
        <v>1</v>
      </c>
      <c r="CJ22" s="53">
        <f t="shared" si="6"/>
        <v>1</v>
      </c>
      <c r="CK22" s="53">
        <f>IF(COUNTA(#REF!)=0,1,0)</f>
        <v>0</v>
      </c>
      <c r="CL22" s="53">
        <f t="shared" si="7"/>
        <v>1</v>
      </c>
      <c r="CM22" s="53">
        <f t="shared" si="8"/>
        <v>1</v>
      </c>
      <c r="CN22" s="53">
        <f t="shared" si="17"/>
        <v>7</v>
      </c>
      <c r="CP22" s="73" t="str">
        <f t="shared" si="9"/>
        <v/>
      </c>
      <c r="CQ22" s="54" t="str">
        <f t="shared" si="10"/>
        <v/>
      </c>
      <c r="CR22" s="54" t="str">
        <f t="shared" si="11"/>
        <v/>
      </c>
      <c r="CS22" s="54" t="str">
        <f t="shared" si="12"/>
        <v/>
      </c>
      <c r="CT22" s="54" t="str">
        <f t="shared" si="13"/>
        <v/>
      </c>
      <c r="CU22" s="54" t="str">
        <f t="shared" si="14"/>
        <v/>
      </c>
      <c r="CV22" s="54" t="str">
        <f t="shared" si="15"/>
        <v/>
      </c>
    </row>
    <row r="23" spans="1:100" ht="23.4" customHeight="1" thickBot="1" x14ac:dyDescent="0.25">
      <c r="A23" s="110">
        <v>15</v>
      </c>
      <c r="B23" s="117"/>
      <c r="C23" s="117"/>
      <c r="D23" s="117"/>
      <c r="E23" s="117"/>
      <c r="F23" s="117"/>
      <c r="G23" s="117"/>
      <c r="H23" s="117"/>
      <c r="I23" s="117"/>
      <c r="J23" s="117"/>
      <c r="K23" s="117"/>
      <c r="L23" s="117"/>
      <c r="M23" s="119"/>
      <c r="N23" s="114"/>
      <c r="O23" s="23"/>
      <c r="P23" s="23"/>
      <c r="Q23" s="24"/>
      <c r="R23" s="35"/>
      <c r="S23" s="36"/>
      <c r="T23" s="36"/>
      <c r="U23" s="36"/>
      <c r="V23" s="35"/>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7"/>
      <c r="BG23" s="36"/>
      <c r="BH23" s="36"/>
      <c r="BI23" s="36"/>
      <c r="BJ23" s="36"/>
      <c r="BK23" s="36"/>
      <c r="BL23" s="36"/>
      <c r="BM23" s="36"/>
      <c r="BN23" s="38"/>
      <c r="BO23" s="23"/>
      <c r="BP23" s="23"/>
      <c r="BQ23" s="28"/>
      <c r="BR23" s="11"/>
      <c r="BS23" s="13"/>
      <c r="BT23" s="13"/>
      <c r="BU23" s="13"/>
      <c r="BV23" s="12"/>
      <c r="BW23" s="11"/>
      <c r="BX23" s="13"/>
      <c r="BY23" s="13"/>
      <c r="BZ23" s="13"/>
      <c r="CA23" s="13"/>
      <c r="CB23" s="14"/>
      <c r="CC23" s="56" t="str">
        <f t="shared" si="16"/>
        <v/>
      </c>
      <c r="CD23" s="53">
        <f t="shared" si="0"/>
        <v>0</v>
      </c>
      <c r="CE23" s="53">
        <f t="shared" si="1"/>
        <v>0</v>
      </c>
      <c r="CF23" s="53">
        <f t="shared" si="2"/>
        <v>1</v>
      </c>
      <c r="CG23" s="53">
        <f t="shared" si="3"/>
        <v>1</v>
      </c>
      <c r="CH23" s="53">
        <f t="shared" si="4"/>
        <v>1</v>
      </c>
      <c r="CI23" s="53">
        <f t="shared" si="5"/>
        <v>1</v>
      </c>
      <c r="CJ23" s="53">
        <f t="shared" si="6"/>
        <v>1</v>
      </c>
      <c r="CK23" s="53">
        <f>IF(COUNTA(#REF!)=0,1,0)</f>
        <v>0</v>
      </c>
      <c r="CL23" s="53">
        <f t="shared" si="7"/>
        <v>1</v>
      </c>
      <c r="CM23" s="53">
        <f t="shared" si="8"/>
        <v>1</v>
      </c>
      <c r="CN23" s="53">
        <f t="shared" si="17"/>
        <v>7</v>
      </c>
      <c r="CP23" s="73" t="str">
        <f t="shared" si="9"/>
        <v/>
      </c>
      <c r="CQ23" s="54" t="str">
        <f t="shared" si="10"/>
        <v/>
      </c>
      <c r="CR23" s="54" t="str">
        <f t="shared" si="11"/>
        <v/>
      </c>
      <c r="CS23" s="54" t="str">
        <f t="shared" si="12"/>
        <v/>
      </c>
      <c r="CT23" s="54" t="str">
        <f t="shared" si="13"/>
        <v/>
      </c>
      <c r="CU23" s="54" t="str">
        <f t="shared" si="14"/>
        <v/>
      </c>
      <c r="CV23" s="54" t="str">
        <f t="shared" si="15"/>
        <v/>
      </c>
    </row>
    <row r="24" spans="1:100" ht="23.4" customHeight="1" thickBot="1" x14ac:dyDescent="0.25">
      <c r="A24" s="110">
        <v>16</v>
      </c>
      <c r="B24" s="117"/>
      <c r="C24" s="117"/>
      <c r="D24" s="117"/>
      <c r="E24" s="117"/>
      <c r="F24" s="117"/>
      <c r="G24" s="117"/>
      <c r="H24" s="117"/>
      <c r="I24" s="117"/>
      <c r="J24" s="117"/>
      <c r="K24" s="117"/>
      <c r="L24" s="117"/>
      <c r="M24" s="119"/>
      <c r="N24" s="114"/>
      <c r="O24" s="23"/>
      <c r="P24" s="23"/>
      <c r="Q24" s="24"/>
      <c r="R24" s="35"/>
      <c r="S24" s="36"/>
      <c r="T24" s="36"/>
      <c r="U24" s="36"/>
      <c r="V24" s="35"/>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7"/>
      <c r="BG24" s="36"/>
      <c r="BH24" s="36"/>
      <c r="BI24" s="36"/>
      <c r="BJ24" s="36"/>
      <c r="BK24" s="36"/>
      <c r="BL24" s="36"/>
      <c r="BM24" s="36"/>
      <c r="BN24" s="38"/>
      <c r="BO24" s="23"/>
      <c r="BP24" s="23"/>
      <c r="BQ24" s="28"/>
      <c r="BR24" s="11"/>
      <c r="BS24" s="13"/>
      <c r="BT24" s="13"/>
      <c r="BU24" s="13"/>
      <c r="BV24" s="12"/>
      <c r="BW24" s="11"/>
      <c r="BX24" s="13"/>
      <c r="BY24" s="13"/>
      <c r="BZ24" s="13"/>
      <c r="CA24" s="13"/>
      <c r="CB24" s="14"/>
      <c r="CC24" s="56" t="str">
        <f t="shared" si="16"/>
        <v/>
      </c>
      <c r="CD24" s="53">
        <f t="shared" si="0"/>
        <v>0</v>
      </c>
      <c r="CE24" s="53">
        <f t="shared" si="1"/>
        <v>0</v>
      </c>
      <c r="CF24" s="53">
        <f t="shared" si="2"/>
        <v>1</v>
      </c>
      <c r="CG24" s="53">
        <f t="shared" si="3"/>
        <v>1</v>
      </c>
      <c r="CH24" s="53">
        <f t="shared" si="4"/>
        <v>1</v>
      </c>
      <c r="CI24" s="53">
        <f t="shared" si="5"/>
        <v>1</v>
      </c>
      <c r="CJ24" s="53">
        <f t="shared" si="6"/>
        <v>1</v>
      </c>
      <c r="CK24" s="53">
        <f>IF(COUNTA(#REF!)=0,1,0)</f>
        <v>0</v>
      </c>
      <c r="CL24" s="53">
        <f t="shared" si="7"/>
        <v>1</v>
      </c>
      <c r="CM24" s="53">
        <f t="shared" si="8"/>
        <v>1</v>
      </c>
      <c r="CN24" s="53">
        <f t="shared" si="17"/>
        <v>7</v>
      </c>
      <c r="CP24" s="73" t="str">
        <f t="shared" si="9"/>
        <v/>
      </c>
      <c r="CQ24" s="54" t="str">
        <f t="shared" si="10"/>
        <v/>
      </c>
      <c r="CR24" s="54" t="str">
        <f t="shared" si="11"/>
        <v/>
      </c>
      <c r="CS24" s="54" t="str">
        <f t="shared" si="12"/>
        <v/>
      </c>
      <c r="CT24" s="54" t="str">
        <f t="shared" si="13"/>
        <v/>
      </c>
      <c r="CU24" s="54" t="str">
        <f t="shared" si="14"/>
        <v/>
      </c>
      <c r="CV24" s="54" t="str">
        <f t="shared" si="15"/>
        <v/>
      </c>
    </row>
    <row r="25" spans="1:100" ht="23.4" customHeight="1" thickBot="1" x14ac:dyDescent="0.25">
      <c r="A25" s="110">
        <v>17</v>
      </c>
      <c r="B25" s="117"/>
      <c r="C25" s="117"/>
      <c r="D25" s="117"/>
      <c r="E25" s="117"/>
      <c r="F25" s="117"/>
      <c r="G25" s="117"/>
      <c r="H25" s="117"/>
      <c r="I25" s="117"/>
      <c r="J25" s="117"/>
      <c r="K25" s="117"/>
      <c r="L25" s="117"/>
      <c r="M25" s="119"/>
      <c r="N25" s="114"/>
      <c r="O25" s="23"/>
      <c r="P25" s="23"/>
      <c r="Q25" s="24"/>
      <c r="R25" s="35"/>
      <c r="S25" s="36"/>
      <c r="T25" s="36"/>
      <c r="U25" s="36"/>
      <c r="V25" s="35"/>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7"/>
      <c r="BG25" s="36"/>
      <c r="BH25" s="36"/>
      <c r="BI25" s="36"/>
      <c r="BJ25" s="36"/>
      <c r="BK25" s="36"/>
      <c r="BL25" s="36"/>
      <c r="BM25" s="36"/>
      <c r="BN25" s="38"/>
      <c r="BO25" s="23"/>
      <c r="BP25" s="23"/>
      <c r="BQ25" s="28"/>
      <c r="BR25" s="11"/>
      <c r="BS25" s="13"/>
      <c r="BT25" s="13"/>
      <c r="BU25" s="13"/>
      <c r="BV25" s="12"/>
      <c r="BW25" s="11"/>
      <c r="BX25" s="13"/>
      <c r="BY25" s="13"/>
      <c r="BZ25" s="13"/>
      <c r="CA25" s="13"/>
      <c r="CB25" s="14"/>
      <c r="CC25" s="56" t="str">
        <f t="shared" si="16"/>
        <v/>
      </c>
      <c r="CD25" s="53">
        <f t="shared" si="0"/>
        <v>0</v>
      </c>
      <c r="CE25" s="53">
        <f t="shared" si="1"/>
        <v>0</v>
      </c>
      <c r="CF25" s="53">
        <f t="shared" si="2"/>
        <v>1</v>
      </c>
      <c r="CG25" s="53">
        <f t="shared" si="3"/>
        <v>1</v>
      </c>
      <c r="CH25" s="53">
        <f t="shared" si="4"/>
        <v>1</v>
      </c>
      <c r="CI25" s="53">
        <f t="shared" si="5"/>
        <v>1</v>
      </c>
      <c r="CJ25" s="53">
        <f t="shared" si="6"/>
        <v>1</v>
      </c>
      <c r="CK25" s="53">
        <f>IF(COUNTA(#REF!)=0,1,0)</f>
        <v>0</v>
      </c>
      <c r="CL25" s="53">
        <f t="shared" si="7"/>
        <v>1</v>
      </c>
      <c r="CM25" s="53">
        <f t="shared" si="8"/>
        <v>1</v>
      </c>
      <c r="CN25" s="53">
        <f t="shared" si="17"/>
        <v>7</v>
      </c>
      <c r="CP25" s="73" t="str">
        <f t="shared" si="9"/>
        <v/>
      </c>
      <c r="CQ25" s="54" t="str">
        <f t="shared" si="10"/>
        <v/>
      </c>
      <c r="CR25" s="54" t="str">
        <f t="shared" si="11"/>
        <v/>
      </c>
      <c r="CS25" s="54" t="str">
        <f t="shared" si="12"/>
        <v/>
      </c>
      <c r="CT25" s="54" t="str">
        <f t="shared" si="13"/>
        <v/>
      </c>
      <c r="CU25" s="54" t="str">
        <f t="shared" si="14"/>
        <v/>
      </c>
      <c r="CV25" s="54" t="str">
        <f t="shared" si="15"/>
        <v/>
      </c>
    </row>
    <row r="26" spans="1:100" ht="23.4" customHeight="1" thickBot="1" x14ac:dyDescent="0.25">
      <c r="A26" s="110">
        <v>18</v>
      </c>
      <c r="B26" s="117"/>
      <c r="C26" s="117"/>
      <c r="D26" s="117"/>
      <c r="E26" s="117"/>
      <c r="F26" s="117"/>
      <c r="G26" s="117"/>
      <c r="H26" s="117"/>
      <c r="I26" s="117"/>
      <c r="J26" s="117"/>
      <c r="K26" s="117"/>
      <c r="L26" s="117"/>
      <c r="M26" s="119"/>
      <c r="N26" s="114"/>
      <c r="O26" s="23"/>
      <c r="P26" s="23"/>
      <c r="Q26" s="24"/>
      <c r="R26" s="35"/>
      <c r="S26" s="36"/>
      <c r="T26" s="36"/>
      <c r="U26" s="36"/>
      <c r="V26" s="35"/>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7"/>
      <c r="BG26" s="36"/>
      <c r="BH26" s="36"/>
      <c r="BI26" s="36"/>
      <c r="BJ26" s="36"/>
      <c r="BK26" s="36"/>
      <c r="BL26" s="36"/>
      <c r="BM26" s="36"/>
      <c r="BN26" s="38"/>
      <c r="BO26" s="23"/>
      <c r="BP26" s="23"/>
      <c r="BQ26" s="28"/>
      <c r="BR26" s="11"/>
      <c r="BS26" s="13"/>
      <c r="BT26" s="13"/>
      <c r="BU26" s="13"/>
      <c r="BV26" s="12"/>
      <c r="BW26" s="11"/>
      <c r="BX26" s="13"/>
      <c r="BY26" s="13"/>
      <c r="BZ26" s="13"/>
      <c r="CA26" s="13"/>
      <c r="CB26" s="14"/>
      <c r="CC26" s="56" t="str">
        <f t="shared" si="16"/>
        <v/>
      </c>
      <c r="CD26" s="53">
        <f t="shared" si="0"/>
        <v>0</v>
      </c>
      <c r="CE26" s="53">
        <f t="shared" si="1"/>
        <v>0</v>
      </c>
      <c r="CF26" s="53">
        <f t="shared" si="2"/>
        <v>1</v>
      </c>
      <c r="CG26" s="53">
        <f t="shared" si="3"/>
        <v>1</v>
      </c>
      <c r="CH26" s="53">
        <f t="shared" si="4"/>
        <v>1</v>
      </c>
      <c r="CI26" s="53">
        <f t="shared" si="5"/>
        <v>1</v>
      </c>
      <c r="CJ26" s="53">
        <f t="shared" si="6"/>
        <v>1</v>
      </c>
      <c r="CK26" s="53">
        <f>IF(COUNTA(#REF!)=0,1,0)</f>
        <v>0</v>
      </c>
      <c r="CL26" s="53">
        <f t="shared" si="7"/>
        <v>1</v>
      </c>
      <c r="CM26" s="53">
        <f t="shared" si="8"/>
        <v>1</v>
      </c>
      <c r="CN26" s="53">
        <f t="shared" si="17"/>
        <v>7</v>
      </c>
      <c r="CP26" s="73" t="str">
        <f t="shared" si="9"/>
        <v/>
      </c>
      <c r="CQ26" s="54" t="str">
        <f t="shared" si="10"/>
        <v/>
      </c>
      <c r="CR26" s="54" t="str">
        <f t="shared" si="11"/>
        <v/>
      </c>
      <c r="CS26" s="54" t="str">
        <f t="shared" si="12"/>
        <v/>
      </c>
      <c r="CT26" s="54" t="str">
        <f t="shared" si="13"/>
        <v/>
      </c>
      <c r="CU26" s="54" t="str">
        <f t="shared" si="14"/>
        <v/>
      </c>
      <c r="CV26" s="54" t="str">
        <f t="shared" si="15"/>
        <v/>
      </c>
    </row>
    <row r="27" spans="1:100" ht="23.4" customHeight="1" thickBot="1" x14ac:dyDescent="0.25">
      <c r="A27" s="110">
        <v>19</v>
      </c>
      <c r="B27" s="117"/>
      <c r="C27" s="117"/>
      <c r="D27" s="117"/>
      <c r="E27" s="117"/>
      <c r="F27" s="117"/>
      <c r="G27" s="117"/>
      <c r="H27" s="117"/>
      <c r="I27" s="117"/>
      <c r="J27" s="117"/>
      <c r="K27" s="117"/>
      <c r="L27" s="117"/>
      <c r="M27" s="119"/>
      <c r="N27" s="114"/>
      <c r="O27" s="23"/>
      <c r="P27" s="23"/>
      <c r="Q27" s="24"/>
      <c r="R27" s="35"/>
      <c r="S27" s="36"/>
      <c r="T27" s="36"/>
      <c r="U27" s="36"/>
      <c r="V27" s="35"/>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7"/>
      <c r="BG27" s="36"/>
      <c r="BH27" s="36"/>
      <c r="BI27" s="36"/>
      <c r="BJ27" s="36"/>
      <c r="BK27" s="36"/>
      <c r="BL27" s="36"/>
      <c r="BM27" s="36"/>
      <c r="BN27" s="38"/>
      <c r="BO27" s="23"/>
      <c r="BP27" s="23"/>
      <c r="BQ27" s="28"/>
      <c r="BR27" s="11"/>
      <c r="BS27" s="13"/>
      <c r="BT27" s="13"/>
      <c r="BU27" s="13"/>
      <c r="BV27" s="12"/>
      <c r="BW27" s="11"/>
      <c r="BX27" s="13"/>
      <c r="BY27" s="13"/>
      <c r="BZ27" s="13"/>
      <c r="CA27" s="13"/>
      <c r="CB27" s="14"/>
      <c r="CC27" s="56" t="str">
        <f t="shared" si="16"/>
        <v/>
      </c>
      <c r="CD27" s="53">
        <f t="shared" si="0"/>
        <v>0</v>
      </c>
      <c r="CE27" s="53">
        <f t="shared" si="1"/>
        <v>0</v>
      </c>
      <c r="CF27" s="53">
        <f t="shared" si="2"/>
        <v>1</v>
      </c>
      <c r="CG27" s="53">
        <f t="shared" si="3"/>
        <v>1</v>
      </c>
      <c r="CH27" s="53">
        <f t="shared" si="4"/>
        <v>1</v>
      </c>
      <c r="CI27" s="53">
        <f t="shared" si="5"/>
        <v>1</v>
      </c>
      <c r="CJ27" s="53">
        <f t="shared" si="6"/>
        <v>1</v>
      </c>
      <c r="CK27" s="53">
        <f>IF(COUNTA(#REF!)=0,1,0)</f>
        <v>0</v>
      </c>
      <c r="CL27" s="53">
        <f t="shared" si="7"/>
        <v>1</v>
      </c>
      <c r="CM27" s="53">
        <f t="shared" si="8"/>
        <v>1</v>
      </c>
      <c r="CN27" s="53">
        <f t="shared" si="17"/>
        <v>7</v>
      </c>
      <c r="CP27" s="73" t="str">
        <f t="shared" si="9"/>
        <v/>
      </c>
      <c r="CQ27" s="54" t="str">
        <f t="shared" si="10"/>
        <v/>
      </c>
      <c r="CR27" s="54" t="str">
        <f t="shared" si="11"/>
        <v/>
      </c>
      <c r="CS27" s="54" t="str">
        <f t="shared" si="12"/>
        <v/>
      </c>
      <c r="CT27" s="54" t="str">
        <f t="shared" si="13"/>
        <v/>
      </c>
      <c r="CU27" s="54" t="str">
        <f t="shared" si="14"/>
        <v/>
      </c>
      <c r="CV27" s="54" t="str">
        <f t="shared" si="15"/>
        <v/>
      </c>
    </row>
    <row r="28" spans="1:100" ht="23.4" customHeight="1" thickBot="1" x14ac:dyDescent="0.25">
      <c r="A28" s="111">
        <v>20</v>
      </c>
      <c r="B28" s="117"/>
      <c r="C28" s="117"/>
      <c r="D28" s="117"/>
      <c r="E28" s="117"/>
      <c r="F28" s="117"/>
      <c r="G28" s="117"/>
      <c r="H28" s="117"/>
      <c r="I28" s="117"/>
      <c r="J28" s="117"/>
      <c r="K28" s="117"/>
      <c r="L28" s="117"/>
      <c r="M28" s="119"/>
      <c r="N28" s="114"/>
      <c r="O28" s="23"/>
      <c r="P28" s="23"/>
      <c r="Q28" s="24"/>
      <c r="R28" s="35"/>
      <c r="S28" s="36"/>
      <c r="T28" s="36"/>
      <c r="U28" s="36"/>
      <c r="V28" s="35"/>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7"/>
      <c r="BG28" s="36"/>
      <c r="BH28" s="36"/>
      <c r="BI28" s="36"/>
      <c r="BJ28" s="36"/>
      <c r="BK28" s="36"/>
      <c r="BL28" s="36"/>
      <c r="BM28" s="36"/>
      <c r="BN28" s="38"/>
      <c r="BO28" s="23"/>
      <c r="BP28" s="23"/>
      <c r="BQ28" s="28"/>
      <c r="BR28" s="11"/>
      <c r="BS28" s="13"/>
      <c r="BT28" s="13"/>
      <c r="BU28" s="13"/>
      <c r="BV28" s="12"/>
      <c r="BW28" s="11"/>
      <c r="BX28" s="13"/>
      <c r="BY28" s="13"/>
      <c r="BZ28" s="13"/>
      <c r="CA28" s="13"/>
      <c r="CB28" s="14"/>
      <c r="CC28" s="56" t="str">
        <f t="shared" si="16"/>
        <v/>
      </c>
      <c r="CD28" s="53">
        <f t="shared" si="0"/>
        <v>0</v>
      </c>
      <c r="CE28" s="53">
        <f t="shared" si="1"/>
        <v>0</v>
      </c>
      <c r="CF28" s="53">
        <f t="shared" si="2"/>
        <v>1</v>
      </c>
      <c r="CG28" s="53">
        <f t="shared" si="3"/>
        <v>1</v>
      </c>
      <c r="CH28" s="53">
        <f t="shared" si="4"/>
        <v>1</v>
      </c>
      <c r="CI28" s="53">
        <f t="shared" si="5"/>
        <v>1</v>
      </c>
      <c r="CJ28" s="53">
        <f t="shared" si="6"/>
        <v>1</v>
      </c>
      <c r="CK28" s="53">
        <f>IF(COUNTA(#REF!)=0,1,0)</f>
        <v>0</v>
      </c>
      <c r="CL28" s="53">
        <f t="shared" si="7"/>
        <v>1</v>
      </c>
      <c r="CM28" s="53">
        <f t="shared" si="8"/>
        <v>1</v>
      </c>
      <c r="CN28" s="53">
        <f t="shared" si="17"/>
        <v>7</v>
      </c>
      <c r="CP28" s="73" t="str">
        <f t="shared" si="9"/>
        <v/>
      </c>
      <c r="CQ28" s="54" t="str">
        <f t="shared" si="10"/>
        <v/>
      </c>
      <c r="CR28" s="54" t="str">
        <f t="shared" si="11"/>
        <v/>
      </c>
      <c r="CS28" s="54" t="str">
        <f t="shared" si="12"/>
        <v/>
      </c>
      <c r="CT28" s="54" t="str">
        <f t="shared" si="13"/>
        <v/>
      </c>
      <c r="CU28" s="54" t="str">
        <f t="shared" si="14"/>
        <v/>
      </c>
      <c r="CV28" s="54" t="str">
        <f t="shared" si="15"/>
        <v/>
      </c>
    </row>
    <row r="29" spans="1:100" ht="23.4" customHeight="1" thickBot="1" x14ac:dyDescent="0.25">
      <c r="A29" s="111">
        <v>21</v>
      </c>
      <c r="B29" s="117"/>
      <c r="C29" s="117"/>
      <c r="D29" s="117"/>
      <c r="E29" s="117"/>
      <c r="F29" s="117"/>
      <c r="G29" s="117"/>
      <c r="H29" s="117"/>
      <c r="I29" s="117"/>
      <c r="J29" s="117"/>
      <c r="K29" s="117"/>
      <c r="L29" s="117"/>
      <c r="M29" s="119"/>
      <c r="N29" s="114"/>
      <c r="O29" s="23"/>
      <c r="P29" s="23"/>
      <c r="Q29" s="24"/>
      <c r="R29" s="35"/>
      <c r="S29" s="36"/>
      <c r="T29" s="36"/>
      <c r="U29" s="36"/>
      <c r="V29" s="35"/>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7"/>
      <c r="BG29" s="36"/>
      <c r="BH29" s="36"/>
      <c r="BI29" s="36"/>
      <c r="BJ29" s="36"/>
      <c r="BK29" s="36"/>
      <c r="BL29" s="36"/>
      <c r="BM29" s="36"/>
      <c r="BN29" s="38"/>
      <c r="BO29" s="23"/>
      <c r="BP29" s="23"/>
      <c r="BQ29" s="28"/>
      <c r="BR29" s="11"/>
      <c r="BS29" s="13"/>
      <c r="BT29" s="13"/>
      <c r="BU29" s="13"/>
      <c r="BV29" s="12"/>
      <c r="BW29" s="11"/>
      <c r="BX29" s="13"/>
      <c r="BY29" s="13"/>
      <c r="BZ29" s="13"/>
      <c r="CA29" s="13"/>
      <c r="CB29" s="14"/>
      <c r="CC29" s="56" t="str">
        <f t="shared" si="16"/>
        <v/>
      </c>
      <c r="CD29" s="53">
        <f t="shared" si="0"/>
        <v>0</v>
      </c>
      <c r="CE29" s="53">
        <f t="shared" si="1"/>
        <v>0</v>
      </c>
      <c r="CF29" s="53">
        <f t="shared" si="2"/>
        <v>1</v>
      </c>
      <c r="CG29" s="53">
        <f t="shared" si="3"/>
        <v>1</v>
      </c>
      <c r="CH29" s="53">
        <f t="shared" si="4"/>
        <v>1</v>
      </c>
      <c r="CI29" s="53">
        <f t="shared" si="5"/>
        <v>1</v>
      </c>
      <c r="CJ29" s="53">
        <f t="shared" si="6"/>
        <v>1</v>
      </c>
      <c r="CK29" s="53">
        <f>IF(COUNTA(#REF!)=0,1,0)</f>
        <v>0</v>
      </c>
      <c r="CL29" s="53">
        <f t="shared" si="7"/>
        <v>1</v>
      </c>
      <c r="CM29" s="53">
        <f t="shared" si="8"/>
        <v>1</v>
      </c>
      <c r="CN29" s="53">
        <f t="shared" si="17"/>
        <v>7</v>
      </c>
      <c r="CP29" s="73" t="str">
        <f t="shared" si="9"/>
        <v/>
      </c>
      <c r="CQ29" s="54" t="str">
        <f t="shared" si="10"/>
        <v/>
      </c>
      <c r="CR29" s="54" t="str">
        <f t="shared" si="11"/>
        <v/>
      </c>
      <c r="CS29" s="54" t="str">
        <f t="shared" si="12"/>
        <v/>
      </c>
      <c r="CT29" s="54" t="str">
        <f t="shared" si="13"/>
        <v/>
      </c>
      <c r="CU29" s="54" t="str">
        <f t="shared" si="14"/>
        <v/>
      </c>
      <c r="CV29" s="54" t="str">
        <f t="shared" si="15"/>
        <v/>
      </c>
    </row>
    <row r="30" spans="1:100" ht="23.4" customHeight="1" thickBot="1" x14ac:dyDescent="0.25">
      <c r="A30" s="111">
        <v>22</v>
      </c>
      <c r="B30" s="117"/>
      <c r="C30" s="117"/>
      <c r="D30" s="117"/>
      <c r="E30" s="117"/>
      <c r="F30" s="117"/>
      <c r="G30" s="117"/>
      <c r="H30" s="117"/>
      <c r="I30" s="117"/>
      <c r="J30" s="117"/>
      <c r="K30" s="117"/>
      <c r="L30" s="117"/>
      <c r="M30" s="119"/>
      <c r="N30" s="114"/>
      <c r="O30" s="23"/>
      <c r="P30" s="23"/>
      <c r="Q30" s="24"/>
      <c r="R30" s="35"/>
      <c r="S30" s="36"/>
      <c r="T30" s="36"/>
      <c r="U30" s="36"/>
      <c r="V30" s="35"/>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7"/>
      <c r="BG30" s="36"/>
      <c r="BH30" s="36"/>
      <c r="BI30" s="36"/>
      <c r="BJ30" s="36"/>
      <c r="BK30" s="36"/>
      <c r="BL30" s="36"/>
      <c r="BM30" s="36"/>
      <c r="BN30" s="38"/>
      <c r="BO30" s="23"/>
      <c r="BP30" s="23"/>
      <c r="BQ30" s="28"/>
      <c r="BR30" s="11"/>
      <c r="BS30" s="13"/>
      <c r="BT30" s="13"/>
      <c r="BU30" s="13"/>
      <c r="BV30" s="12"/>
      <c r="BW30" s="11"/>
      <c r="BX30" s="13"/>
      <c r="BY30" s="13"/>
      <c r="BZ30" s="13"/>
      <c r="CA30" s="13"/>
      <c r="CB30" s="14"/>
      <c r="CC30" s="56" t="str">
        <f t="shared" si="16"/>
        <v/>
      </c>
      <c r="CD30" s="53">
        <f t="shared" si="0"/>
        <v>0</v>
      </c>
      <c r="CE30" s="53">
        <f t="shared" si="1"/>
        <v>0</v>
      </c>
      <c r="CF30" s="53">
        <f t="shared" si="2"/>
        <v>1</v>
      </c>
      <c r="CG30" s="53">
        <f t="shared" si="3"/>
        <v>1</v>
      </c>
      <c r="CH30" s="53">
        <f t="shared" si="4"/>
        <v>1</v>
      </c>
      <c r="CI30" s="53">
        <f t="shared" si="5"/>
        <v>1</v>
      </c>
      <c r="CJ30" s="53">
        <f t="shared" si="6"/>
        <v>1</v>
      </c>
      <c r="CK30" s="53">
        <f>IF(COUNTA(#REF!)=0,1,0)</f>
        <v>0</v>
      </c>
      <c r="CL30" s="53">
        <f t="shared" si="7"/>
        <v>1</v>
      </c>
      <c r="CM30" s="53">
        <f t="shared" si="8"/>
        <v>1</v>
      </c>
      <c r="CN30" s="53">
        <f t="shared" si="17"/>
        <v>7</v>
      </c>
      <c r="CP30" s="73" t="str">
        <f t="shared" si="9"/>
        <v/>
      </c>
      <c r="CQ30" s="54" t="str">
        <f t="shared" si="10"/>
        <v/>
      </c>
      <c r="CR30" s="54" t="str">
        <f t="shared" si="11"/>
        <v/>
      </c>
      <c r="CS30" s="54" t="str">
        <f t="shared" si="12"/>
        <v/>
      </c>
      <c r="CT30" s="54" t="str">
        <f t="shared" si="13"/>
        <v/>
      </c>
      <c r="CU30" s="54" t="str">
        <f t="shared" si="14"/>
        <v/>
      </c>
      <c r="CV30" s="54" t="str">
        <f t="shared" si="15"/>
        <v/>
      </c>
    </row>
    <row r="31" spans="1:100" ht="23.4" customHeight="1" thickBot="1" x14ac:dyDescent="0.25">
      <c r="A31" s="111">
        <v>23</v>
      </c>
      <c r="B31" s="117"/>
      <c r="C31" s="117"/>
      <c r="D31" s="117"/>
      <c r="E31" s="117"/>
      <c r="F31" s="117"/>
      <c r="G31" s="117"/>
      <c r="H31" s="117"/>
      <c r="I31" s="117"/>
      <c r="J31" s="117"/>
      <c r="K31" s="117"/>
      <c r="L31" s="117"/>
      <c r="M31" s="119"/>
      <c r="N31" s="114"/>
      <c r="O31" s="23"/>
      <c r="P31" s="23"/>
      <c r="Q31" s="24"/>
      <c r="R31" s="35"/>
      <c r="S31" s="36"/>
      <c r="T31" s="36"/>
      <c r="U31" s="36"/>
      <c r="V31" s="35"/>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7"/>
      <c r="BG31" s="36"/>
      <c r="BH31" s="36"/>
      <c r="BI31" s="36"/>
      <c r="BJ31" s="36"/>
      <c r="BK31" s="36"/>
      <c r="BL31" s="36"/>
      <c r="BM31" s="36"/>
      <c r="BN31" s="38"/>
      <c r="BO31" s="23"/>
      <c r="BP31" s="23"/>
      <c r="BQ31" s="28"/>
      <c r="BR31" s="11"/>
      <c r="BS31" s="13"/>
      <c r="BT31" s="13"/>
      <c r="BU31" s="13"/>
      <c r="BV31" s="12"/>
      <c r="BW31" s="11"/>
      <c r="BX31" s="13"/>
      <c r="BY31" s="13"/>
      <c r="BZ31" s="13"/>
      <c r="CA31" s="13"/>
      <c r="CB31" s="14"/>
      <c r="CC31" s="56" t="str">
        <f t="shared" si="16"/>
        <v/>
      </c>
      <c r="CD31" s="53">
        <f t="shared" si="0"/>
        <v>0</v>
      </c>
      <c r="CE31" s="53">
        <f t="shared" si="1"/>
        <v>0</v>
      </c>
      <c r="CF31" s="53">
        <f t="shared" si="2"/>
        <v>1</v>
      </c>
      <c r="CG31" s="53">
        <f t="shared" si="3"/>
        <v>1</v>
      </c>
      <c r="CH31" s="53">
        <f t="shared" si="4"/>
        <v>1</v>
      </c>
      <c r="CI31" s="53">
        <f t="shared" si="5"/>
        <v>1</v>
      </c>
      <c r="CJ31" s="53">
        <f t="shared" si="6"/>
        <v>1</v>
      </c>
      <c r="CK31" s="53">
        <f>IF(COUNTA(#REF!)=0,1,0)</f>
        <v>0</v>
      </c>
      <c r="CL31" s="53">
        <f t="shared" si="7"/>
        <v>1</v>
      </c>
      <c r="CM31" s="53">
        <f t="shared" si="8"/>
        <v>1</v>
      </c>
      <c r="CN31" s="53">
        <f t="shared" si="17"/>
        <v>7</v>
      </c>
      <c r="CP31" s="73" t="str">
        <f t="shared" si="9"/>
        <v/>
      </c>
      <c r="CQ31" s="54" t="str">
        <f t="shared" si="10"/>
        <v/>
      </c>
      <c r="CR31" s="54" t="str">
        <f t="shared" si="11"/>
        <v/>
      </c>
      <c r="CS31" s="54" t="str">
        <f t="shared" si="12"/>
        <v/>
      </c>
      <c r="CT31" s="54" t="str">
        <f t="shared" si="13"/>
        <v/>
      </c>
      <c r="CU31" s="54" t="str">
        <f t="shared" si="14"/>
        <v/>
      </c>
      <c r="CV31" s="54" t="str">
        <f t="shared" si="15"/>
        <v/>
      </c>
    </row>
    <row r="32" spans="1:100" ht="23.4" customHeight="1" thickBot="1" x14ac:dyDescent="0.25">
      <c r="A32" s="111">
        <v>24</v>
      </c>
      <c r="B32" s="117"/>
      <c r="C32" s="117"/>
      <c r="D32" s="117"/>
      <c r="E32" s="117"/>
      <c r="F32" s="117"/>
      <c r="G32" s="117"/>
      <c r="H32" s="117"/>
      <c r="I32" s="117"/>
      <c r="J32" s="117"/>
      <c r="K32" s="117"/>
      <c r="L32" s="117"/>
      <c r="M32" s="119"/>
      <c r="N32" s="114"/>
      <c r="O32" s="23"/>
      <c r="P32" s="23"/>
      <c r="Q32" s="24"/>
      <c r="R32" s="35"/>
      <c r="S32" s="36"/>
      <c r="T32" s="36"/>
      <c r="U32" s="36"/>
      <c r="V32" s="35"/>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7"/>
      <c r="BG32" s="36"/>
      <c r="BH32" s="36"/>
      <c r="BI32" s="36"/>
      <c r="BJ32" s="36"/>
      <c r="BK32" s="36"/>
      <c r="BL32" s="36"/>
      <c r="BM32" s="36"/>
      <c r="BN32" s="38"/>
      <c r="BO32" s="23"/>
      <c r="BP32" s="23"/>
      <c r="BQ32" s="28"/>
      <c r="BR32" s="11"/>
      <c r="BS32" s="13"/>
      <c r="BT32" s="13"/>
      <c r="BU32" s="13"/>
      <c r="BV32" s="12"/>
      <c r="BW32" s="11"/>
      <c r="BX32" s="13"/>
      <c r="BY32" s="13"/>
      <c r="BZ32" s="13"/>
      <c r="CA32" s="13"/>
      <c r="CB32" s="14"/>
      <c r="CC32" s="56" t="str">
        <f t="shared" si="16"/>
        <v/>
      </c>
      <c r="CD32" s="53">
        <f t="shared" si="0"/>
        <v>0</v>
      </c>
      <c r="CE32" s="53">
        <f t="shared" si="1"/>
        <v>0</v>
      </c>
      <c r="CF32" s="53">
        <f t="shared" si="2"/>
        <v>1</v>
      </c>
      <c r="CG32" s="53">
        <f t="shared" si="3"/>
        <v>1</v>
      </c>
      <c r="CH32" s="53">
        <f t="shared" si="4"/>
        <v>1</v>
      </c>
      <c r="CI32" s="53">
        <f t="shared" si="5"/>
        <v>1</v>
      </c>
      <c r="CJ32" s="53">
        <f t="shared" si="6"/>
        <v>1</v>
      </c>
      <c r="CK32" s="53">
        <f>IF(COUNTA(#REF!)=0,1,0)</f>
        <v>0</v>
      </c>
      <c r="CL32" s="53">
        <f t="shared" si="7"/>
        <v>1</v>
      </c>
      <c r="CM32" s="53">
        <f t="shared" si="8"/>
        <v>1</v>
      </c>
      <c r="CN32" s="53">
        <f t="shared" si="17"/>
        <v>7</v>
      </c>
      <c r="CP32" s="73" t="str">
        <f t="shared" si="9"/>
        <v/>
      </c>
      <c r="CQ32" s="54" t="str">
        <f t="shared" si="10"/>
        <v/>
      </c>
      <c r="CR32" s="54" t="str">
        <f t="shared" si="11"/>
        <v/>
      </c>
      <c r="CS32" s="54" t="str">
        <f t="shared" si="12"/>
        <v/>
      </c>
      <c r="CT32" s="54" t="str">
        <f t="shared" si="13"/>
        <v/>
      </c>
      <c r="CU32" s="54" t="str">
        <f t="shared" si="14"/>
        <v/>
      </c>
      <c r="CV32" s="54" t="str">
        <f t="shared" si="15"/>
        <v/>
      </c>
    </row>
    <row r="33" spans="1:137" ht="23.4" customHeight="1" thickBot="1" x14ac:dyDescent="0.25">
      <c r="A33" s="111">
        <v>25</v>
      </c>
      <c r="B33" s="117"/>
      <c r="C33" s="117"/>
      <c r="D33" s="117"/>
      <c r="E33" s="117"/>
      <c r="F33" s="117"/>
      <c r="G33" s="117"/>
      <c r="H33" s="117"/>
      <c r="I33" s="117"/>
      <c r="J33" s="117"/>
      <c r="K33" s="117"/>
      <c r="L33" s="117"/>
      <c r="M33" s="119"/>
      <c r="N33" s="114"/>
      <c r="O33" s="23"/>
      <c r="P33" s="23"/>
      <c r="Q33" s="24"/>
      <c r="R33" s="35"/>
      <c r="S33" s="36"/>
      <c r="T33" s="36"/>
      <c r="U33" s="36"/>
      <c r="V33" s="35"/>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7"/>
      <c r="BG33" s="36"/>
      <c r="BH33" s="36"/>
      <c r="BI33" s="36"/>
      <c r="BJ33" s="36"/>
      <c r="BK33" s="36"/>
      <c r="BL33" s="36"/>
      <c r="BM33" s="36"/>
      <c r="BN33" s="38"/>
      <c r="BO33" s="23"/>
      <c r="BP33" s="23"/>
      <c r="BQ33" s="28"/>
      <c r="BR33" s="11"/>
      <c r="BS33" s="13"/>
      <c r="BT33" s="13"/>
      <c r="BU33" s="13"/>
      <c r="BV33" s="12"/>
      <c r="BW33" s="11"/>
      <c r="BX33" s="13"/>
      <c r="BY33" s="13"/>
      <c r="BZ33" s="13"/>
      <c r="CA33" s="13"/>
      <c r="CB33" s="14"/>
      <c r="CC33" s="56" t="str">
        <f t="shared" si="16"/>
        <v/>
      </c>
      <c r="CD33" s="53">
        <f t="shared" si="0"/>
        <v>0</v>
      </c>
      <c r="CE33" s="53">
        <f t="shared" si="1"/>
        <v>0</v>
      </c>
      <c r="CF33" s="53">
        <f t="shared" si="2"/>
        <v>1</v>
      </c>
      <c r="CG33" s="53">
        <f t="shared" si="3"/>
        <v>1</v>
      </c>
      <c r="CH33" s="53">
        <f t="shared" si="4"/>
        <v>1</v>
      </c>
      <c r="CI33" s="53">
        <f t="shared" si="5"/>
        <v>1</v>
      </c>
      <c r="CJ33" s="53">
        <f t="shared" si="6"/>
        <v>1</v>
      </c>
      <c r="CK33" s="53">
        <f>IF(COUNTA(#REF!)=0,1,0)</f>
        <v>0</v>
      </c>
      <c r="CL33" s="53">
        <f t="shared" si="7"/>
        <v>1</v>
      </c>
      <c r="CM33" s="53">
        <f t="shared" si="8"/>
        <v>1</v>
      </c>
      <c r="CN33" s="53">
        <f t="shared" si="17"/>
        <v>7</v>
      </c>
      <c r="CP33" s="73" t="str">
        <f t="shared" si="9"/>
        <v/>
      </c>
      <c r="CQ33" s="54" t="str">
        <f t="shared" si="10"/>
        <v/>
      </c>
      <c r="CR33" s="54" t="str">
        <f t="shared" si="11"/>
        <v/>
      </c>
      <c r="CS33" s="54" t="str">
        <f t="shared" si="12"/>
        <v/>
      </c>
      <c r="CT33" s="54" t="str">
        <f t="shared" si="13"/>
        <v/>
      </c>
      <c r="CU33" s="54" t="str">
        <f t="shared" si="14"/>
        <v/>
      </c>
      <c r="CV33" s="54" t="str">
        <f t="shared" si="15"/>
        <v/>
      </c>
    </row>
    <row r="34" spans="1:137" ht="23.4" customHeight="1" thickBot="1" x14ac:dyDescent="0.25">
      <c r="A34" s="111">
        <v>26</v>
      </c>
      <c r="B34" s="117"/>
      <c r="C34" s="117"/>
      <c r="D34" s="117"/>
      <c r="E34" s="117"/>
      <c r="F34" s="117"/>
      <c r="G34" s="117"/>
      <c r="H34" s="117"/>
      <c r="I34" s="117"/>
      <c r="J34" s="117"/>
      <c r="K34" s="117"/>
      <c r="L34" s="117"/>
      <c r="M34" s="119"/>
      <c r="N34" s="114"/>
      <c r="O34" s="23"/>
      <c r="P34" s="23"/>
      <c r="Q34" s="24"/>
      <c r="R34" s="35"/>
      <c r="S34" s="36"/>
      <c r="T34" s="36"/>
      <c r="U34" s="36"/>
      <c r="V34" s="35"/>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7"/>
      <c r="BG34" s="36"/>
      <c r="BH34" s="36"/>
      <c r="BI34" s="36"/>
      <c r="BJ34" s="36"/>
      <c r="BK34" s="36"/>
      <c r="BL34" s="36"/>
      <c r="BM34" s="36"/>
      <c r="BN34" s="38"/>
      <c r="BO34" s="23"/>
      <c r="BP34" s="23"/>
      <c r="BQ34" s="28"/>
      <c r="BR34" s="11"/>
      <c r="BS34" s="13"/>
      <c r="BT34" s="13"/>
      <c r="BU34" s="13"/>
      <c r="BV34" s="12"/>
      <c r="BW34" s="11"/>
      <c r="BX34" s="13"/>
      <c r="BY34" s="13"/>
      <c r="BZ34" s="13"/>
      <c r="CA34" s="13"/>
      <c r="CB34" s="14"/>
      <c r="CC34" s="56" t="str">
        <f t="shared" si="16"/>
        <v/>
      </c>
      <c r="CD34" s="53">
        <f t="shared" si="0"/>
        <v>0</v>
      </c>
      <c r="CE34" s="53">
        <f t="shared" si="1"/>
        <v>0</v>
      </c>
      <c r="CF34" s="53">
        <f t="shared" si="2"/>
        <v>1</v>
      </c>
      <c r="CG34" s="53">
        <f t="shared" si="3"/>
        <v>1</v>
      </c>
      <c r="CH34" s="53">
        <f t="shared" si="4"/>
        <v>1</v>
      </c>
      <c r="CI34" s="53">
        <f t="shared" si="5"/>
        <v>1</v>
      </c>
      <c r="CJ34" s="53">
        <f t="shared" si="6"/>
        <v>1</v>
      </c>
      <c r="CK34" s="53">
        <f>IF(COUNTA(#REF!)=0,1,0)</f>
        <v>0</v>
      </c>
      <c r="CL34" s="53">
        <f t="shared" si="7"/>
        <v>1</v>
      </c>
      <c r="CM34" s="53">
        <f t="shared" si="8"/>
        <v>1</v>
      </c>
      <c r="CN34" s="53">
        <f t="shared" si="17"/>
        <v>7</v>
      </c>
      <c r="CP34" s="73" t="str">
        <f t="shared" si="9"/>
        <v/>
      </c>
      <c r="CQ34" s="54" t="str">
        <f t="shared" si="10"/>
        <v/>
      </c>
      <c r="CR34" s="54" t="str">
        <f t="shared" si="11"/>
        <v/>
      </c>
      <c r="CS34" s="54" t="str">
        <f t="shared" si="12"/>
        <v/>
      </c>
      <c r="CT34" s="54" t="str">
        <f t="shared" si="13"/>
        <v/>
      </c>
      <c r="CU34" s="54" t="str">
        <f t="shared" si="14"/>
        <v/>
      </c>
      <c r="CV34" s="54" t="str">
        <f t="shared" si="15"/>
        <v/>
      </c>
    </row>
    <row r="35" spans="1:137" ht="23.4" customHeight="1" thickBot="1" x14ac:dyDescent="0.25">
      <c r="A35" s="111">
        <v>27</v>
      </c>
      <c r="B35" s="117"/>
      <c r="C35" s="117"/>
      <c r="D35" s="117"/>
      <c r="E35" s="117"/>
      <c r="F35" s="117"/>
      <c r="G35" s="117"/>
      <c r="H35" s="117"/>
      <c r="I35" s="117"/>
      <c r="J35" s="117"/>
      <c r="K35" s="117"/>
      <c r="L35" s="117"/>
      <c r="M35" s="119"/>
      <c r="N35" s="114"/>
      <c r="O35" s="23"/>
      <c r="P35" s="23"/>
      <c r="Q35" s="24"/>
      <c r="R35" s="35"/>
      <c r="S35" s="36"/>
      <c r="T35" s="36"/>
      <c r="U35" s="36"/>
      <c r="V35" s="35"/>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7"/>
      <c r="BG35" s="36"/>
      <c r="BH35" s="36"/>
      <c r="BI35" s="36"/>
      <c r="BJ35" s="36"/>
      <c r="BK35" s="36"/>
      <c r="BL35" s="36"/>
      <c r="BM35" s="36"/>
      <c r="BN35" s="38"/>
      <c r="BO35" s="23"/>
      <c r="BP35" s="23"/>
      <c r="BQ35" s="28"/>
      <c r="BR35" s="11"/>
      <c r="BS35" s="13"/>
      <c r="BT35" s="13"/>
      <c r="BU35" s="13"/>
      <c r="BV35" s="12"/>
      <c r="BW35" s="11"/>
      <c r="BX35" s="13"/>
      <c r="BY35" s="13"/>
      <c r="BZ35" s="13"/>
      <c r="CA35" s="13"/>
      <c r="CB35" s="14"/>
      <c r="CC35" s="56" t="str">
        <f t="shared" si="16"/>
        <v/>
      </c>
      <c r="CD35" s="53">
        <f t="shared" si="0"/>
        <v>0</v>
      </c>
      <c r="CE35" s="53">
        <f t="shared" si="1"/>
        <v>0</v>
      </c>
      <c r="CF35" s="53">
        <f t="shared" si="2"/>
        <v>1</v>
      </c>
      <c r="CG35" s="53">
        <f t="shared" si="3"/>
        <v>1</v>
      </c>
      <c r="CH35" s="53">
        <f t="shared" si="4"/>
        <v>1</v>
      </c>
      <c r="CI35" s="53">
        <f t="shared" si="5"/>
        <v>1</v>
      </c>
      <c r="CJ35" s="53">
        <f t="shared" si="6"/>
        <v>1</v>
      </c>
      <c r="CK35" s="53">
        <f>IF(COUNTA(#REF!)=0,1,0)</f>
        <v>0</v>
      </c>
      <c r="CL35" s="53">
        <f t="shared" si="7"/>
        <v>1</v>
      </c>
      <c r="CM35" s="53">
        <f t="shared" si="8"/>
        <v>1</v>
      </c>
      <c r="CN35" s="53">
        <f t="shared" si="17"/>
        <v>7</v>
      </c>
      <c r="CP35" s="73" t="str">
        <f t="shared" si="9"/>
        <v/>
      </c>
      <c r="CQ35" s="54" t="str">
        <f t="shared" si="10"/>
        <v/>
      </c>
      <c r="CR35" s="54" t="str">
        <f t="shared" si="11"/>
        <v/>
      </c>
      <c r="CS35" s="54" t="str">
        <f t="shared" si="12"/>
        <v/>
      </c>
      <c r="CT35" s="54" t="str">
        <f t="shared" si="13"/>
        <v/>
      </c>
      <c r="CU35" s="54" t="str">
        <f t="shared" si="14"/>
        <v/>
      </c>
      <c r="CV35" s="54" t="str">
        <f t="shared" si="15"/>
        <v/>
      </c>
    </row>
    <row r="36" spans="1:137" ht="23.4" customHeight="1" thickBot="1" x14ac:dyDescent="0.25">
      <c r="A36" s="111">
        <v>28</v>
      </c>
      <c r="B36" s="117"/>
      <c r="C36" s="117"/>
      <c r="D36" s="117"/>
      <c r="E36" s="117"/>
      <c r="F36" s="117"/>
      <c r="G36" s="117"/>
      <c r="H36" s="117"/>
      <c r="I36" s="117"/>
      <c r="J36" s="117"/>
      <c r="K36" s="117"/>
      <c r="L36" s="117"/>
      <c r="M36" s="119"/>
      <c r="N36" s="114"/>
      <c r="O36" s="23"/>
      <c r="P36" s="23"/>
      <c r="Q36" s="24"/>
      <c r="R36" s="35"/>
      <c r="S36" s="36"/>
      <c r="T36" s="36"/>
      <c r="U36" s="36"/>
      <c r="V36" s="35"/>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7"/>
      <c r="BG36" s="36"/>
      <c r="BH36" s="36"/>
      <c r="BI36" s="36"/>
      <c r="BJ36" s="36"/>
      <c r="BK36" s="36"/>
      <c r="BL36" s="36"/>
      <c r="BM36" s="36"/>
      <c r="BN36" s="38"/>
      <c r="BO36" s="23"/>
      <c r="BP36" s="23"/>
      <c r="BQ36" s="28"/>
      <c r="BR36" s="11"/>
      <c r="BS36" s="13"/>
      <c r="BT36" s="13"/>
      <c r="BU36" s="13"/>
      <c r="BV36" s="12"/>
      <c r="BW36" s="11"/>
      <c r="BX36" s="13"/>
      <c r="BY36" s="13"/>
      <c r="BZ36" s="13"/>
      <c r="CA36" s="13"/>
      <c r="CB36" s="14"/>
      <c r="CC36" s="56" t="str">
        <f t="shared" si="16"/>
        <v/>
      </c>
      <c r="CD36" s="53">
        <f t="shared" si="0"/>
        <v>0</v>
      </c>
      <c r="CE36" s="53">
        <f t="shared" si="1"/>
        <v>0</v>
      </c>
      <c r="CF36" s="53">
        <f t="shared" si="2"/>
        <v>1</v>
      </c>
      <c r="CG36" s="53">
        <f t="shared" si="3"/>
        <v>1</v>
      </c>
      <c r="CH36" s="53">
        <f t="shared" si="4"/>
        <v>1</v>
      </c>
      <c r="CI36" s="53">
        <f t="shared" si="5"/>
        <v>1</v>
      </c>
      <c r="CJ36" s="53">
        <f t="shared" si="6"/>
        <v>1</v>
      </c>
      <c r="CK36" s="53">
        <f>IF(COUNTA(#REF!)=0,1,0)</f>
        <v>0</v>
      </c>
      <c r="CL36" s="53">
        <f t="shared" si="7"/>
        <v>1</v>
      </c>
      <c r="CM36" s="53">
        <f t="shared" si="8"/>
        <v>1</v>
      </c>
      <c r="CN36" s="53">
        <f t="shared" si="17"/>
        <v>7</v>
      </c>
      <c r="CP36" s="73" t="str">
        <f t="shared" si="9"/>
        <v/>
      </c>
      <c r="CQ36" s="54" t="str">
        <f t="shared" si="10"/>
        <v/>
      </c>
      <c r="CR36" s="54" t="str">
        <f t="shared" si="11"/>
        <v/>
      </c>
      <c r="CS36" s="54" t="str">
        <f t="shared" si="12"/>
        <v/>
      </c>
      <c r="CT36" s="54" t="str">
        <f t="shared" si="13"/>
        <v/>
      </c>
      <c r="CU36" s="54" t="str">
        <f t="shared" si="14"/>
        <v/>
      </c>
      <c r="CV36" s="54" t="str">
        <f t="shared" si="15"/>
        <v/>
      </c>
    </row>
    <row r="37" spans="1:137" ht="23.4" customHeight="1" thickBot="1" x14ac:dyDescent="0.25">
      <c r="A37" s="111">
        <v>29</v>
      </c>
      <c r="B37" s="117"/>
      <c r="C37" s="117"/>
      <c r="D37" s="117"/>
      <c r="E37" s="117"/>
      <c r="F37" s="117"/>
      <c r="G37" s="117"/>
      <c r="H37" s="117"/>
      <c r="I37" s="117"/>
      <c r="J37" s="117"/>
      <c r="K37" s="117"/>
      <c r="L37" s="117"/>
      <c r="M37" s="119"/>
      <c r="N37" s="114"/>
      <c r="O37" s="23"/>
      <c r="P37" s="23"/>
      <c r="Q37" s="24"/>
      <c r="R37" s="35"/>
      <c r="S37" s="36"/>
      <c r="T37" s="36"/>
      <c r="U37" s="36"/>
      <c r="V37" s="35"/>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7"/>
      <c r="BG37" s="36"/>
      <c r="BH37" s="36"/>
      <c r="BI37" s="36"/>
      <c r="BJ37" s="36"/>
      <c r="BK37" s="36"/>
      <c r="BL37" s="36"/>
      <c r="BM37" s="36"/>
      <c r="BN37" s="38"/>
      <c r="BO37" s="23"/>
      <c r="BP37" s="23"/>
      <c r="BQ37" s="28"/>
      <c r="BR37" s="11"/>
      <c r="BS37" s="13"/>
      <c r="BT37" s="13"/>
      <c r="BU37" s="13"/>
      <c r="BV37" s="12"/>
      <c r="BW37" s="11"/>
      <c r="BX37" s="13"/>
      <c r="BY37" s="13"/>
      <c r="BZ37" s="13"/>
      <c r="CA37" s="13"/>
      <c r="CB37" s="14"/>
      <c r="CC37" s="56" t="str">
        <f t="shared" si="16"/>
        <v/>
      </c>
      <c r="CD37" s="53">
        <f t="shared" si="0"/>
        <v>0</v>
      </c>
      <c r="CE37" s="53">
        <f t="shared" si="1"/>
        <v>0</v>
      </c>
      <c r="CF37" s="53">
        <f t="shared" si="2"/>
        <v>1</v>
      </c>
      <c r="CG37" s="53">
        <f t="shared" si="3"/>
        <v>1</v>
      </c>
      <c r="CH37" s="53">
        <f t="shared" si="4"/>
        <v>1</v>
      </c>
      <c r="CI37" s="53">
        <f t="shared" si="5"/>
        <v>1</v>
      </c>
      <c r="CJ37" s="53">
        <f t="shared" si="6"/>
        <v>1</v>
      </c>
      <c r="CK37" s="53">
        <f>IF(COUNTA(#REF!)=0,1,0)</f>
        <v>0</v>
      </c>
      <c r="CL37" s="53">
        <f t="shared" si="7"/>
        <v>1</v>
      </c>
      <c r="CM37" s="53">
        <f t="shared" si="8"/>
        <v>1</v>
      </c>
      <c r="CN37" s="53">
        <f t="shared" si="17"/>
        <v>7</v>
      </c>
      <c r="CP37" s="73" t="str">
        <f t="shared" si="9"/>
        <v/>
      </c>
      <c r="CQ37" s="54" t="str">
        <f t="shared" si="10"/>
        <v/>
      </c>
      <c r="CR37" s="54" t="str">
        <f t="shared" si="11"/>
        <v/>
      </c>
      <c r="CS37" s="54" t="str">
        <f t="shared" si="12"/>
        <v/>
      </c>
      <c r="CT37" s="54" t="str">
        <f t="shared" si="13"/>
        <v/>
      </c>
      <c r="CU37" s="54" t="str">
        <f t="shared" si="14"/>
        <v/>
      </c>
      <c r="CV37" s="54" t="str">
        <f t="shared" si="15"/>
        <v/>
      </c>
    </row>
    <row r="38" spans="1:137" ht="23.4" customHeight="1" thickBot="1" x14ac:dyDescent="0.25">
      <c r="A38" s="112">
        <v>30</v>
      </c>
      <c r="B38" s="117"/>
      <c r="C38" s="117"/>
      <c r="D38" s="117"/>
      <c r="E38" s="117"/>
      <c r="F38" s="117"/>
      <c r="G38" s="117"/>
      <c r="H38" s="117"/>
      <c r="I38" s="117"/>
      <c r="J38" s="117"/>
      <c r="K38" s="117"/>
      <c r="L38" s="117"/>
      <c r="M38" s="119"/>
      <c r="N38" s="115"/>
      <c r="O38" s="91"/>
      <c r="P38" s="26"/>
      <c r="Q38" s="27"/>
      <c r="R38" s="39"/>
      <c r="S38" s="40"/>
      <c r="T38" s="40"/>
      <c r="U38" s="40"/>
      <c r="V38" s="39"/>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1"/>
      <c r="BG38" s="40"/>
      <c r="BH38" s="40"/>
      <c r="BI38" s="40"/>
      <c r="BJ38" s="40"/>
      <c r="BK38" s="40"/>
      <c r="BL38" s="40"/>
      <c r="BM38" s="40"/>
      <c r="BN38" s="42"/>
      <c r="BO38" s="26"/>
      <c r="BP38" s="26"/>
      <c r="BQ38" s="28"/>
      <c r="BR38" s="15"/>
      <c r="BS38" s="17"/>
      <c r="BT38" s="17"/>
      <c r="BU38" s="17"/>
      <c r="BV38" s="16"/>
      <c r="BW38" s="15"/>
      <c r="BX38" s="17"/>
      <c r="BY38" s="17"/>
      <c r="BZ38" s="17"/>
      <c r="CA38" s="17"/>
      <c r="CB38" s="18"/>
      <c r="CC38" s="56" t="str">
        <f t="shared" si="16"/>
        <v/>
      </c>
      <c r="CD38" s="53">
        <f t="shared" si="0"/>
        <v>0</v>
      </c>
      <c r="CE38" s="53">
        <f t="shared" si="1"/>
        <v>0</v>
      </c>
      <c r="CF38" s="53">
        <f t="shared" si="2"/>
        <v>1</v>
      </c>
      <c r="CG38" s="53">
        <f t="shared" si="3"/>
        <v>1</v>
      </c>
      <c r="CH38" s="53">
        <f t="shared" si="4"/>
        <v>1</v>
      </c>
      <c r="CI38" s="53">
        <f t="shared" si="5"/>
        <v>1</v>
      </c>
      <c r="CJ38" s="53">
        <f t="shared" si="6"/>
        <v>1</v>
      </c>
      <c r="CK38" s="53">
        <f>IF(COUNTA(#REF!)=0,1,0)</f>
        <v>0</v>
      </c>
      <c r="CL38" s="53">
        <f t="shared" si="7"/>
        <v>1</v>
      </c>
      <c r="CM38" s="53">
        <f t="shared" si="8"/>
        <v>1</v>
      </c>
      <c r="CN38" s="53">
        <f t="shared" si="17"/>
        <v>7</v>
      </c>
      <c r="CP38" s="73" t="str">
        <f t="shared" si="9"/>
        <v/>
      </c>
      <c r="CQ38" s="54" t="str">
        <f t="shared" si="10"/>
        <v/>
      </c>
      <c r="CR38" s="54" t="str">
        <f t="shared" si="11"/>
        <v/>
      </c>
      <c r="CS38" s="54" t="str">
        <f t="shared" si="12"/>
        <v/>
      </c>
      <c r="CT38" s="54" t="str">
        <f t="shared" si="13"/>
        <v/>
      </c>
      <c r="CU38" s="54" t="str">
        <f t="shared" si="14"/>
        <v/>
      </c>
      <c r="CV38" s="54" t="str">
        <f t="shared" si="15"/>
        <v/>
      </c>
    </row>
    <row r="39" spans="1:137" x14ac:dyDescent="0.2">
      <c r="A39" s="4" t="s">
        <v>181</v>
      </c>
    </row>
    <row r="40" spans="1:137" x14ac:dyDescent="0.2">
      <c r="A40" s="4" t="s">
        <v>179</v>
      </c>
    </row>
    <row r="41" spans="1:137" ht="13.2" customHeight="1" x14ac:dyDescent="0.2">
      <c r="A41" s="4" t="s">
        <v>182</v>
      </c>
      <c r="CD41" s="227" t="s">
        <v>157</v>
      </c>
      <c r="CE41" s="227"/>
      <c r="CF41" s="227"/>
      <c r="CG41" s="227"/>
    </row>
    <row r="42" spans="1:137" ht="13.2" customHeight="1" x14ac:dyDescent="0.2">
      <c r="A42" s="4" t="s">
        <v>39</v>
      </c>
      <c r="CD42" s="228"/>
      <c r="CE42" s="228"/>
      <c r="CF42" s="228"/>
      <c r="CG42" s="228"/>
      <c r="CH42" s="68"/>
      <c r="CI42" s="68"/>
      <c r="CJ42" s="68"/>
      <c r="CK42" s="69"/>
      <c r="CL42" s="68"/>
      <c r="CM42" s="68"/>
      <c r="CN42" s="68"/>
      <c r="CO42" s="68"/>
      <c r="CP42" s="68"/>
      <c r="CQ42" s="69"/>
      <c r="CR42" s="68"/>
      <c r="CS42" s="68"/>
      <c r="CT42" s="68"/>
      <c r="CU42" s="68"/>
      <c r="CV42" s="68"/>
      <c r="CW42" s="68"/>
      <c r="CX42" s="68"/>
      <c r="CY42" s="68"/>
      <c r="CZ42" s="68"/>
      <c r="DA42" s="68"/>
      <c r="DB42" s="68"/>
      <c r="DC42" s="68"/>
      <c r="DD42" s="68"/>
      <c r="DE42" s="68"/>
      <c r="DF42" s="68"/>
      <c r="DG42" s="68"/>
      <c r="DH42" s="68"/>
      <c r="DI42" s="68"/>
      <c r="DJ42" s="68"/>
      <c r="DK42" s="68"/>
      <c r="DL42" s="68"/>
      <c r="DM42" s="69"/>
      <c r="DN42" s="68"/>
      <c r="DO42" s="68"/>
      <c r="DP42" s="68"/>
      <c r="DQ42" s="68"/>
      <c r="DR42" s="68"/>
      <c r="DS42" s="68"/>
      <c r="DT42" s="68"/>
      <c r="DU42" s="68"/>
      <c r="DV42" s="68"/>
      <c r="DW42" s="68"/>
      <c r="DX42" s="68"/>
      <c r="DY42" s="68"/>
      <c r="DZ42" s="68"/>
      <c r="EA42" s="68"/>
      <c r="EB42" s="68"/>
      <c r="EC42" s="68"/>
      <c r="ED42" s="69"/>
      <c r="EE42" s="68"/>
      <c r="EF42" s="68"/>
      <c r="EG42" s="68"/>
    </row>
    <row r="43" spans="1:137" ht="13.2" customHeight="1" x14ac:dyDescent="0.2">
      <c r="CD43" s="64"/>
      <c r="CE43" s="217" t="s">
        <v>95</v>
      </c>
      <c r="CF43" s="217" t="s">
        <v>96</v>
      </c>
      <c r="CG43" s="220" t="s">
        <v>77</v>
      </c>
      <c r="CH43" s="221"/>
      <c r="CI43" s="221"/>
      <c r="CJ43" s="221"/>
      <c r="CK43" s="222"/>
      <c r="CL43" s="226" t="s">
        <v>78</v>
      </c>
      <c r="CM43" s="222"/>
      <c r="CN43" s="217" t="s">
        <v>97</v>
      </c>
      <c r="CO43" s="208" t="s">
        <v>184</v>
      </c>
      <c r="CP43" s="209"/>
      <c r="CQ43" s="209"/>
      <c r="CR43" s="209"/>
      <c r="CS43" s="209"/>
      <c r="CT43" s="209"/>
      <c r="CU43" s="209"/>
      <c r="CV43" s="209"/>
      <c r="CW43" s="209"/>
      <c r="CX43" s="209"/>
      <c r="CY43" s="209"/>
      <c r="CZ43" s="209"/>
      <c r="DA43" s="210"/>
      <c r="DB43" s="211" t="s">
        <v>176</v>
      </c>
      <c r="DC43" s="212"/>
      <c r="DD43" s="212"/>
      <c r="DE43" s="212"/>
      <c r="DF43" s="212"/>
      <c r="DG43" s="212"/>
      <c r="DH43" s="213"/>
      <c r="DI43" s="127" t="s">
        <v>178</v>
      </c>
      <c r="DJ43" s="127"/>
      <c r="DK43" s="127"/>
      <c r="DL43" s="127"/>
      <c r="DM43" s="127"/>
      <c r="DN43" s="127" t="s">
        <v>8</v>
      </c>
      <c r="DO43" s="127"/>
      <c r="DP43" s="127"/>
      <c r="DQ43" s="127"/>
      <c r="DR43" s="127"/>
      <c r="DS43" s="127"/>
    </row>
    <row r="44" spans="1:137" x14ac:dyDescent="0.2">
      <c r="CD44" s="57"/>
      <c r="CE44" s="218"/>
      <c r="CF44" s="218"/>
      <c r="CG44" s="223"/>
      <c r="CH44" s="224"/>
      <c r="CI44" s="224"/>
      <c r="CJ44" s="224"/>
      <c r="CK44" s="225"/>
      <c r="CL44" s="223"/>
      <c r="CM44" s="225"/>
      <c r="CN44" s="218"/>
      <c r="CO44" s="208" t="s">
        <v>79</v>
      </c>
      <c r="CP44" s="209"/>
      <c r="CQ44" s="209"/>
      <c r="CR44" s="209"/>
      <c r="CS44" s="209"/>
      <c r="CT44" s="209"/>
      <c r="CU44" s="210"/>
      <c r="CV44" s="208" t="s">
        <v>80</v>
      </c>
      <c r="CW44" s="209"/>
      <c r="CX44" s="209"/>
      <c r="CY44" s="209"/>
      <c r="CZ44" s="209"/>
      <c r="DA44" s="210"/>
      <c r="DB44" s="214"/>
      <c r="DC44" s="215"/>
      <c r="DD44" s="215"/>
      <c r="DE44" s="215"/>
      <c r="DF44" s="215"/>
      <c r="DG44" s="215"/>
      <c r="DH44" s="216"/>
      <c r="DI44" s="127"/>
      <c r="DJ44" s="127"/>
      <c r="DK44" s="127"/>
      <c r="DL44" s="127"/>
      <c r="DM44" s="127"/>
      <c r="DN44" s="127"/>
      <c r="DO44" s="127"/>
      <c r="DP44" s="127"/>
      <c r="DQ44" s="127"/>
      <c r="DR44" s="127"/>
      <c r="DS44" s="127"/>
    </row>
    <row r="45" spans="1:137" x14ac:dyDescent="0.2">
      <c r="CD45" s="58"/>
      <c r="CE45" s="219"/>
      <c r="CF45" s="219"/>
      <c r="CG45" s="59" t="s">
        <v>81</v>
      </c>
      <c r="CH45" s="59" t="s">
        <v>82</v>
      </c>
      <c r="CI45" s="59" t="s">
        <v>83</v>
      </c>
      <c r="CJ45" s="59" t="s">
        <v>84</v>
      </c>
      <c r="CK45" s="59" t="s">
        <v>85</v>
      </c>
      <c r="CL45" s="59" t="s">
        <v>81</v>
      </c>
      <c r="CM45" s="59" t="s">
        <v>82</v>
      </c>
      <c r="CN45" s="219"/>
      <c r="CO45" s="60" t="s">
        <v>81</v>
      </c>
      <c r="CP45" s="60" t="s">
        <v>82</v>
      </c>
      <c r="CQ45" s="60" t="s">
        <v>83</v>
      </c>
      <c r="CR45" s="60" t="s">
        <v>84</v>
      </c>
      <c r="CS45" s="60" t="s">
        <v>85</v>
      </c>
      <c r="CT45" s="60" t="s">
        <v>86</v>
      </c>
      <c r="CU45" s="60" t="s">
        <v>87</v>
      </c>
      <c r="CV45" s="60" t="s">
        <v>81</v>
      </c>
      <c r="CW45" s="60" t="s">
        <v>82</v>
      </c>
      <c r="CX45" s="60" t="s">
        <v>83</v>
      </c>
      <c r="CY45" s="60" t="s">
        <v>84</v>
      </c>
      <c r="CZ45" s="60" t="s">
        <v>85</v>
      </c>
      <c r="DA45" s="60" t="s">
        <v>86</v>
      </c>
      <c r="DB45" s="60" t="s">
        <v>81</v>
      </c>
      <c r="DC45" s="60" t="s">
        <v>82</v>
      </c>
      <c r="DD45" s="60" t="s">
        <v>83</v>
      </c>
      <c r="DE45" s="60" t="s">
        <v>84</v>
      </c>
      <c r="DF45" s="60" t="s">
        <v>85</v>
      </c>
      <c r="DG45" s="60" t="s">
        <v>86</v>
      </c>
      <c r="DH45" s="60" t="s">
        <v>87</v>
      </c>
      <c r="DI45" s="59" t="s">
        <v>81</v>
      </c>
      <c r="DJ45" s="59" t="s">
        <v>82</v>
      </c>
      <c r="DK45" s="59" t="s">
        <v>83</v>
      </c>
      <c r="DL45" s="59" t="s">
        <v>84</v>
      </c>
      <c r="DM45" s="59" t="s">
        <v>85</v>
      </c>
      <c r="DN45" s="59" t="s">
        <v>81</v>
      </c>
      <c r="DO45" s="59" t="s">
        <v>82</v>
      </c>
      <c r="DP45" s="59" t="s">
        <v>83</v>
      </c>
      <c r="DQ45" s="59" t="s">
        <v>84</v>
      </c>
      <c r="DR45" s="59" t="s">
        <v>85</v>
      </c>
      <c r="DS45" s="62" t="s">
        <v>86</v>
      </c>
    </row>
    <row r="46" spans="1:137" ht="21.75" customHeight="1" thickBot="1" x14ac:dyDescent="0.25">
      <c r="CD46" s="74" t="s">
        <v>93</v>
      </c>
      <c r="CE46" s="75">
        <f>SUM(CE47:CE53)</f>
        <v>0</v>
      </c>
      <c r="CF46" s="75">
        <f t="shared" ref="CF46:DS46" si="18">SUM(CF47:CF53)</f>
        <v>0</v>
      </c>
      <c r="CG46" s="75">
        <f t="shared" si="18"/>
        <v>0</v>
      </c>
      <c r="CH46" s="75">
        <f t="shared" si="18"/>
        <v>0</v>
      </c>
      <c r="CI46" s="75">
        <f t="shared" si="18"/>
        <v>0</v>
      </c>
      <c r="CJ46" s="75">
        <f t="shared" si="18"/>
        <v>0</v>
      </c>
      <c r="CK46" s="75">
        <f t="shared" si="18"/>
        <v>0</v>
      </c>
      <c r="CL46" s="75">
        <f t="shared" si="18"/>
        <v>0</v>
      </c>
      <c r="CM46" s="75">
        <f t="shared" si="18"/>
        <v>0</v>
      </c>
      <c r="CN46" s="75">
        <f t="shared" si="18"/>
        <v>0</v>
      </c>
      <c r="CO46" s="75">
        <f t="shared" si="18"/>
        <v>0</v>
      </c>
      <c r="CP46" s="75">
        <f t="shared" si="18"/>
        <v>0</v>
      </c>
      <c r="CQ46" s="75">
        <f t="shared" si="18"/>
        <v>0</v>
      </c>
      <c r="CR46" s="75">
        <f t="shared" si="18"/>
        <v>0</v>
      </c>
      <c r="CS46" s="75">
        <f t="shared" si="18"/>
        <v>0</v>
      </c>
      <c r="CT46" s="75">
        <f t="shared" si="18"/>
        <v>0</v>
      </c>
      <c r="CU46" s="75">
        <f t="shared" si="18"/>
        <v>0</v>
      </c>
      <c r="CV46" s="75">
        <f t="shared" si="18"/>
        <v>0</v>
      </c>
      <c r="CW46" s="75">
        <f t="shared" si="18"/>
        <v>0</v>
      </c>
      <c r="CX46" s="75">
        <f t="shared" si="18"/>
        <v>0</v>
      </c>
      <c r="CY46" s="75">
        <f t="shared" si="18"/>
        <v>0</v>
      </c>
      <c r="CZ46" s="75">
        <f t="shared" si="18"/>
        <v>0</v>
      </c>
      <c r="DA46" s="75">
        <f t="shared" si="18"/>
        <v>0</v>
      </c>
      <c r="DB46" s="75">
        <f t="shared" si="18"/>
        <v>0</v>
      </c>
      <c r="DC46" s="75">
        <f t="shared" si="18"/>
        <v>0</v>
      </c>
      <c r="DD46" s="75">
        <f t="shared" si="18"/>
        <v>0</v>
      </c>
      <c r="DE46" s="75">
        <f t="shared" si="18"/>
        <v>0</v>
      </c>
      <c r="DF46" s="75">
        <f t="shared" si="18"/>
        <v>0</v>
      </c>
      <c r="DG46" s="75">
        <f t="shared" si="18"/>
        <v>0</v>
      </c>
      <c r="DH46" s="75">
        <f t="shared" si="18"/>
        <v>0</v>
      </c>
      <c r="DI46" s="75">
        <f t="shared" si="18"/>
        <v>0</v>
      </c>
      <c r="DJ46" s="75">
        <f t="shared" si="18"/>
        <v>0</v>
      </c>
      <c r="DK46" s="75">
        <f t="shared" si="18"/>
        <v>0</v>
      </c>
      <c r="DL46" s="75">
        <f t="shared" si="18"/>
        <v>0</v>
      </c>
      <c r="DM46" s="75">
        <f t="shared" si="18"/>
        <v>0</v>
      </c>
      <c r="DN46" s="75">
        <f t="shared" si="18"/>
        <v>0</v>
      </c>
      <c r="DO46" s="75">
        <f t="shared" si="18"/>
        <v>0</v>
      </c>
      <c r="DP46" s="75">
        <f t="shared" si="18"/>
        <v>0</v>
      </c>
      <c r="DQ46" s="75">
        <f t="shared" si="18"/>
        <v>0</v>
      </c>
      <c r="DR46" s="75">
        <f t="shared" si="18"/>
        <v>0</v>
      </c>
      <c r="DS46" s="75">
        <f t="shared" si="18"/>
        <v>0</v>
      </c>
    </row>
    <row r="47" spans="1:137" ht="21.75" customHeight="1" thickTop="1" x14ac:dyDescent="0.2">
      <c r="CD47" s="76" t="s">
        <v>166</v>
      </c>
      <c r="CE47" s="77">
        <f>INT(SUMPRODUCT(1/SUBSTITUTE(COUNTIFS(N9:N38,"ア 幼稚園",Q9:Q38,Q9:Q38),0,31)))</f>
        <v>0</v>
      </c>
      <c r="CF47" s="77">
        <f>COUNTIF($N$9:$N$38,"ア 幼稚園")</f>
        <v>0</v>
      </c>
      <c r="CG47" s="77">
        <f>COUNTIFS(N9:N38,"ア 幼稚園",O9:O38,"ア ２０歳代")</f>
        <v>0</v>
      </c>
      <c r="CH47" s="77">
        <f>COUNTIFS(N9:N38,"ア 幼稚園",O9:O38,"イ ３０歳代")</f>
        <v>0</v>
      </c>
      <c r="CI47" s="77">
        <f>COUNTIFS(N9:N38,"ア 幼稚園",O9:O38,"ウ ４０歳代")</f>
        <v>0</v>
      </c>
      <c r="CJ47" s="77">
        <f>COUNTIFS(N9:N38,"ア 幼稚園",O9:O38,"エ ５０歳代")</f>
        <v>0</v>
      </c>
      <c r="CK47" s="77">
        <f>COUNTIFS(N9:N38,"ア 幼稚園",O9:O38,"オ ６０歳代以上")</f>
        <v>0</v>
      </c>
      <c r="CL47" s="77">
        <f>COUNTIFS($N$9:$N$38,"ア 幼稚園",$P$9:$P$38,"ア 男性")</f>
        <v>0</v>
      </c>
      <c r="CM47" s="77">
        <f>COUNTIFS($N$9:$N$38,"ア 幼稚園",$P$9:$P$38,"イ 女性")</f>
        <v>0</v>
      </c>
      <c r="CN47" s="77">
        <f>SUM(R9:U38)</f>
        <v>0</v>
      </c>
      <c r="CO47" s="77">
        <f>COUNTIFS($N$9:$N$38,"ア 幼稚園",$BO$9:$BO$38,"ア 授業中・保育中")</f>
        <v>0</v>
      </c>
      <c r="CP47" s="77">
        <f>COUNTIFS($N$9:$N$38,"ア 幼稚園",$BO$9:$BO$38,"イ 放課後")</f>
        <v>0</v>
      </c>
      <c r="CQ47" s="77">
        <f>COUNTIFS($N$9:$N$38,"ア 幼稚園",$BO$9:$BO$38,"ウ 休み時間")</f>
        <v>0</v>
      </c>
      <c r="CR47" s="77">
        <f>COUNTIFS($N$9:$N$38,"ア 幼稚園",$BO$9:$BO$38,"エ 部活動")</f>
        <v>0</v>
      </c>
      <c r="CS47" s="77">
        <f>COUNTIFS($N$9:$N$38,"ア 幼稚園",$BO$9:$BO$38,"オ 学校行事")</f>
        <v>0</v>
      </c>
      <c r="CT47" s="77">
        <f>COUNTIFS($N$9:$N$38,"ア 幼稚園",$BO$9:$BO$38,"カ ホームルーム")</f>
        <v>0</v>
      </c>
      <c r="CU47" s="77">
        <f>COUNTIFS($N$9:$N$38,"ア 幼稚園",$BO$9:$BO$38,"キ その他")</f>
        <v>0</v>
      </c>
      <c r="CV47" s="77">
        <f>COUNTIFS($N$9:$N$38,"ア 幼稚園",$BP$9:$BP$38,"ア 教室・保育室")</f>
        <v>0</v>
      </c>
      <c r="CW47" s="77">
        <f>COUNTIFS($N$9:$N$38,"ア 幼稚園",$BP$9:$BP$38,"イ 職員室")</f>
        <v>0</v>
      </c>
      <c r="CX47" s="77">
        <f>COUNTIFS($N$9:$N$38,"ア 幼稚園",$BP$9:$BP$38,"ウ 運動場・園庭、体育館・遊戯室")</f>
        <v>0</v>
      </c>
      <c r="CY47" s="77">
        <f>COUNTIFS($N$9:$N$38,"ア 幼稚園",$BP$9:$BP$38,"エ 生徒指導室")</f>
        <v>0</v>
      </c>
      <c r="CZ47" s="77">
        <f>COUNTIFS($N$9:$N$38,"ア 幼稚園",$BP$9:$BP$38,"オ 廊下、階段")</f>
        <v>0</v>
      </c>
      <c r="DA47" s="77">
        <f>COUNTIFS($N$9:$N$38,"ア 幼稚園",$BP$9:$BP$38,"カ その他")</f>
        <v>0</v>
      </c>
      <c r="DB47" s="77">
        <f>COUNTIFS($N$9:$N$38,"ア 幼稚園",$BQ$9:$BQ$38,"ア 素手で殴る・叩く")</f>
        <v>0</v>
      </c>
      <c r="DC47" s="77">
        <f>COUNTIFS($N$9:$N$38,"ア 幼稚園",$BQ$9:$BQ$38,"イ 棒などで殴る・叩く")</f>
        <v>0</v>
      </c>
      <c r="DD47" s="77">
        <f>COUNTIFS($N$9:$N$38,"ア 幼稚園",$BQ$9:$BQ$38,"ウ 蹴る・踏みつける")</f>
        <v>0</v>
      </c>
      <c r="DE47" s="77">
        <f>COUNTIFS($N$9:$N$38,"ア 幼稚園",$BQ$9:$BQ$38,"エ 投げる・突き飛ばす・転倒させる")</f>
        <v>0</v>
      </c>
      <c r="DF47" s="77">
        <f>COUNTIFS($N$9:$N$38,"ア 幼稚園",$BQ$9:$BQ$38,"オ つねる・ひっかく")</f>
        <v>0</v>
      </c>
      <c r="DG47" s="77">
        <f>COUNTIFS($N$9:$N$38,"ア 幼稚園",$BQ$9:$BQ$38,"カ 物をぶつける・投げつける")</f>
        <v>0</v>
      </c>
      <c r="DH47" s="77">
        <f>COUNTIFS($N$9:$N$38,"ア 幼稚園",$BQ$9:$BQ$38,"キ 長時間教室等に留め置く")</f>
        <v>0</v>
      </c>
      <c r="DI47" s="77">
        <f>COUNTIFS($N$9:$N$38,"ア 幼稚園",$BR$9:$BR$38,1)</f>
        <v>0</v>
      </c>
      <c r="DJ47" s="77">
        <f>COUNTIFS($N$9:$N$38,"ア 幼稚園",$BS$9:$BS$38,1)</f>
        <v>0</v>
      </c>
      <c r="DK47" s="77">
        <f>COUNTIFS($N$9:$N$38,"ア 幼稚園",$BT$9:$BT$38,1)</f>
        <v>0</v>
      </c>
      <c r="DL47" s="77">
        <f>COUNTIFS($N$9:$N$38,"ア 幼稚園",$BU$9:$BU$38,1)</f>
        <v>0</v>
      </c>
      <c r="DM47" s="77">
        <f>COUNTIFS($N$9:$N$38,"ア 幼稚園",$BV$9:$BV$38,1)</f>
        <v>0</v>
      </c>
      <c r="DN47" s="77">
        <f>COUNTIFS($N$9:$N$38,"ア 幼稚園",$BW$9:$BW$38,1)</f>
        <v>0</v>
      </c>
      <c r="DO47" s="77">
        <f>COUNTIFS($N$9:$N$38,"ア 幼稚園",$BX$9:$BX$38,1)</f>
        <v>0</v>
      </c>
      <c r="DP47" s="77">
        <f>COUNTIFS($N$9:$N$38,"ア 幼稚園",$BY$9:$BY$38,1)</f>
        <v>0</v>
      </c>
      <c r="DQ47" s="77">
        <f>COUNTIFS($N$9:$N$38,"ア 幼稚園",$BZ$9:$BZ$38,1)</f>
        <v>0</v>
      </c>
      <c r="DR47" s="77">
        <f>COUNTIFS($N$9:$N$38,"ア 幼稚園",$CA$9:$CA$38,1)</f>
        <v>0</v>
      </c>
      <c r="DS47" s="77">
        <f>COUNTIFS($N$9:$N$38,"ア 幼稚園",$CB$9:$CB$38,1)</f>
        <v>0</v>
      </c>
    </row>
    <row r="48" spans="1:137" ht="21.75" customHeight="1" x14ac:dyDescent="0.2">
      <c r="CD48" s="63" t="s">
        <v>71</v>
      </c>
      <c r="CE48" s="65">
        <f>INT(SUMPRODUCT(1/SUBSTITUTE(COUNTIFS(N9:N38,"イ 小学校",Q9:Q38,Q9:Q38),0,31)))</f>
        <v>0</v>
      </c>
      <c r="CF48" s="65">
        <f>COUNTIF($N$9:$N$38,"イ 小学校")</f>
        <v>0</v>
      </c>
      <c r="CG48" s="65">
        <f>COUNTIFS(N9:N38,"イ 小学校",O9:O38,"ア ２０歳代")</f>
        <v>0</v>
      </c>
      <c r="CH48" s="65">
        <f>COUNTIFS(N9:N38,"イ 小学校",O9:O38,"イ ３０歳代")</f>
        <v>0</v>
      </c>
      <c r="CI48" s="65">
        <f>COUNTIFS(N9:N38,"イ 小学校",O9:O38,"ウ ４０歳代")</f>
        <v>0</v>
      </c>
      <c r="CJ48" s="65">
        <f>COUNTIFS(N9:N38,"イ 小学校",O9:O38,"エ ５０歳代")</f>
        <v>0</v>
      </c>
      <c r="CK48" s="65">
        <f>COUNTIFS(N9:N38,"イ 小学校",O9:O38,"オ ６０歳代以上")</f>
        <v>0</v>
      </c>
      <c r="CL48" s="65">
        <f>COUNTIFS($N$9:$N$38,"イ 小学校",$P$9:$P$38,"ア 男性")</f>
        <v>0</v>
      </c>
      <c r="CM48" s="65">
        <f>COUNTIFS($N$9:$N$38,"イ 小学校",$P$9:$P$38,"イ 女性")</f>
        <v>0</v>
      </c>
      <c r="CN48" s="65">
        <f>SUM(V9:AA38)</f>
        <v>0</v>
      </c>
      <c r="CO48" s="66">
        <f>COUNTIFS($N$9:$N$38,"イ 小学校",$BO$9:$BO$38,"ア 授業中・保育中")</f>
        <v>0</v>
      </c>
      <c r="CP48" s="66">
        <f>COUNTIFS($N$9:$N$38,"イ 小学校",$BO$9:$BO$38,"イ 放課後")</f>
        <v>0</v>
      </c>
      <c r="CQ48" s="66">
        <f>COUNTIFS($N$9:$N$38,"イ 小学校",$BO$9:$BO$38,"ウ 休み時間")</f>
        <v>0</v>
      </c>
      <c r="CR48" s="66">
        <f>COUNTIFS($N$9:$N$38,"イ 小学校",$BO$9:$BO$38,"エ 部活動")</f>
        <v>0</v>
      </c>
      <c r="CS48" s="66">
        <f>COUNTIFS($N$9:$N$38,"イ 小学校",$BO$9:$BO$38,"オ 学校行事")</f>
        <v>0</v>
      </c>
      <c r="CT48" s="66">
        <f>COUNTIFS($N$9:$N$38,"イ 小学校",$BO$9:$BO$38,"カ ホームルーム")</f>
        <v>0</v>
      </c>
      <c r="CU48" s="66">
        <f>COUNTIFS($N$9:$N$38,"イ 小学校",$BO$9:$BO$38,"キ その他")</f>
        <v>0</v>
      </c>
      <c r="CV48" s="66">
        <f>COUNTIFS($N$9:$N$38,"イ 小学校",$BP$9:$BP$38,"ア 教室・保育室")</f>
        <v>0</v>
      </c>
      <c r="CW48" s="66">
        <f>COUNTIFS($N$9:$N$38,"イ 小学校",$BP$9:$BP$38,"イ 職員室")</f>
        <v>0</v>
      </c>
      <c r="CX48" s="66">
        <f>COUNTIFS($N$9:$N$38,"イ 小学校",$BP$9:$BP$38,"ウ 運動場・園庭、体育館・遊戯室")</f>
        <v>0</v>
      </c>
      <c r="CY48" s="66">
        <f>COUNTIFS($N$9:$N$38,"イ 小学校",$BP$9:$BP$38,"エ 生徒指導室")</f>
        <v>0</v>
      </c>
      <c r="CZ48" s="66">
        <f>COUNTIFS($N$9:$N$38,"イ 小学校",$BP$9:$BP$38,"オ 廊下、階段")</f>
        <v>0</v>
      </c>
      <c r="DA48" s="66">
        <f>COUNTIFS($N$9:$N$38,"イ 小学校",$BP$9:$BP$38,"カ その他")</f>
        <v>0</v>
      </c>
      <c r="DB48" s="66">
        <f>COUNTIFS($N$9:$N$38,"イ 小学校",$BQ$9:$BQ$38,"ア 素手で殴る・叩く")</f>
        <v>0</v>
      </c>
      <c r="DC48" s="66">
        <f>COUNTIFS($N$9:$N$38,"イ 小学校",$BQ$9:$BQ$38,"イ 棒などで殴る・叩く")</f>
        <v>0</v>
      </c>
      <c r="DD48" s="66">
        <f>COUNTIFS($N$9:$N$38,"イ 小学校",$BQ$9:$BQ$38,"ウ 蹴る・踏みつける")</f>
        <v>0</v>
      </c>
      <c r="DE48" s="66">
        <f>COUNTIFS($N$9:$N$38,"イ 小学校",$BQ$9:$BQ$38,"エ 投げる・突き飛ばす・転倒させる")</f>
        <v>0</v>
      </c>
      <c r="DF48" s="66">
        <f>COUNTIFS($N$9:$N$38,"イ 小学校",$BQ$9:$BQ$38,"オ つねる・ひっかく")</f>
        <v>0</v>
      </c>
      <c r="DG48" s="66">
        <f>COUNTIFS($N$9:$N$38,"イ 小学校",$BQ$9:$BQ$38,"カ 物をぶつける・投げつける")</f>
        <v>0</v>
      </c>
      <c r="DH48" s="66">
        <f>COUNTIFS($N$9:$N$38,"イ 小学校",$BQ$9:$BQ$38,"キ 長時間教室等に留め置く")</f>
        <v>0</v>
      </c>
      <c r="DI48" s="65">
        <f>COUNTIFS($N$9:$N$38,"イ 小学校",$BR$9:$BR$38,1)</f>
        <v>0</v>
      </c>
      <c r="DJ48" s="65">
        <f>COUNTIFS($N$9:$N$38,"イ 小学校",$BS$9:$BS$38,1)</f>
        <v>0</v>
      </c>
      <c r="DK48" s="65">
        <f>COUNTIFS($N$9:$N$38,"イ 小学校",$BT$9:$BT$38,1)</f>
        <v>0</v>
      </c>
      <c r="DL48" s="65">
        <f>COUNTIFS($N$9:$N$38,"イ 小学校",$BU$9:$BU$38,1)</f>
        <v>0</v>
      </c>
      <c r="DM48" s="65">
        <f>COUNTIFS($N$9:$N$38,"イ 小学校",$BV$9:$BV$38,1)</f>
        <v>0</v>
      </c>
      <c r="DN48" s="65">
        <f>COUNTIFS($N$9:$N$38,"イ 小学校",$BW$9:$BW$38,1)</f>
        <v>0</v>
      </c>
      <c r="DO48" s="65">
        <f>COUNTIFS($N$9:$N$38,"イ 小学校",$BX$9:$BX$38,1)</f>
        <v>0</v>
      </c>
      <c r="DP48" s="65">
        <f>COUNTIFS($N$9:$N$38,"イ 小学校",$BY$9:$BY$38,1)</f>
        <v>0</v>
      </c>
      <c r="DQ48" s="65">
        <f>COUNTIFS($N$9:$N$38,"イ 小学校",$BZ$9:$BZ$38,1)</f>
        <v>0</v>
      </c>
      <c r="DR48" s="65">
        <f>COUNTIFS($N$9:$N$38,"イ 小学校",$CA$9:$CA$38,1)</f>
        <v>0</v>
      </c>
      <c r="DS48" s="65">
        <f>COUNTIFS($N$9:$N$38,"イ 小学校",$CB$9:$CB$38,1)</f>
        <v>0</v>
      </c>
    </row>
    <row r="49" spans="82:127" ht="21.75" customHeight="1" x14ac:dyDescent="0.2">
      <c r="CD49" s="63" t="s">
        <v>72</v>
      </c>
      <c r="CE49" s="65">
        <f>INT(SUMPRODUCT(1/SUBSTITUTE(COUNTIFS(N9:N38,"ウ 中学校",Q9:Q38,Q9:Q38),0,31)))</f>
        <v>0</v>
      </c>
      <c r="CF49" s="65">
        <f>COUNTIF($N$9:$N$38,"ウ 中学校")</f>
        <v>0</v>
      </c>
      <c r="CG49" s="65">
        <f>COUNTIFS(N9:N38,"ウ 中学校",O9:O38,"ア ２０歳代")</f>
        <v>0</v>
      </c>
      <c r="CH49" s="65">
        <f>COUNTIFS(N9:N38,"ウ 中学校",O9:O38,"イ ３０歳代")</f>
        <v>0</v>
      </c>
      <c r="CI49" s="65">
        <f>COUNTIFS(N9:N38,"ウ 中学校",O9:O38,"ウ ４０歳代")</f>
        <v>0</v>
      </c>
      <c r="CJ49" s="65">
        <f>COUNTIFS(N9:N38,"ウ 中学校",O9:O38,"エ ５０歳代")</f>
        <v>0</v>
      </c>
      <c r="CK49" s="65">
        <f>COUNTIFS(N9:N38,"ウ 中学校",O9:O38,"オ ６０歳代以上")</f>
        <v>0</v>
      </c>
      <c r="CL49" s="65">
        <f>COUNTIFS($N$9:$N$38,"ウ 中学校",$P$9:$P$38,"ア 男性")</f>
        <v>0</v>
      </c>
      <c r="CM49" s="65">
        <f>COUNTIFS($N$9:$N$38,"ウ 中学校",$P$9:$P$38,"イ 女性")</f>
        <v>0</v>
      </c>
      <c r="CN49" s="65">
        <f>SUM(AB9:AD38)</f>
        <v>0</v>
      </c>
      <c r="CO49" s="66">
        <f>COUNTIFS($N$9:$N$38,"ウ 中学校",$BO$9:$BO$38,"ア 授業中・保育中")</f>
        <v>0</v>
      </c>
      <c r="CP49" s="66">
        <f>COUNTIFS($N$9:$N$38,"ウ 中学校",$BO$9:$BO$38,"イ 放課後")</f>
        <v>0</v>
      </c>
      <c r="CQ49" s="66">
        <f>COUNTIFS($N$9:$N$38,"ウ 中学校",$BO$9:$BO$38,"ウ 休み時間")</f>
        <v>0</v>
      </c>
      <c r="CR49" s="66">
        <f>COUNTIFS($N$9:$N$38,"ウ 中学校",$BO$9:$BO$38,"エ 部活動")</f>
        <v>0</v>
      </c>
      <c r="CS49" s="66">
        <f>COUNTIFS($N$9:$N$38,"ウ 中学校",$BO$9:$BO$38,"オ 学校行事")</f>
        <v>0</v>
      </c>
      <c r="CT49" s="66">
        <f>COUNTIFS($N$9:$N$38,"ウ 中学校",$BO$9:$BO$38,"カ ホームルーム")</f>
        <v>0</v>
      </c>
      <c r="CU49" s="66">
        <f>COUNTIFS($N$9:$N$38,"ウ 中学校",$BO$9:$BO$38,"キ その他")</f>
        <v>0</v>
      </c>
      <c r="CV49" s="66">
        <f>COUNTIFS($N$9:$N$38,"ウ 中学校",$BP$9:$BP$38,"ア 教室・保育室")</f>
        <v>0</v>
      </c>
      <c r="CW49" s="66">
        <f>COUNTIFS($N$9:$N$38,"ウ 中学校",$BP$9:$BP$38,"イ 職員室")</f>
        <v>0</v>
      </c>
      <c r="CX49" s="66">
        <f>COUNTIFS($N$9:$N$38,"ウ 中学校",$BP$9:$BP$38,"ウ 運動場・園庭、体育館・遊戯室")</f>
        <v>0</v>
      </c>
      <c r="CY49" s="66">
        <f>COUNTIFS($N$9:$N$38,"ウ 中学校",$BP$9:$BP$38,"エ 生徒指導室")</f>
        <v>0</v>
      </c>
      <c r="CZ49" s="66">
        <f>COUNTIFS($N$9:$N$38,"ウ 中学校",$BP$9:$BP$38,"オ 廊下、階段")</f>
        <v>0</v>
      </c>
      <c r="DA49" s="66">
        <f>COUNTIFS($N$9:$N$38,"ウ 中学校",$BP$9:$BP$38,"カ その他")</f>
        <v>0</v>
      </c>
      <c r="DB49" s="66">
        <f>COUNTIFS($N$9:$N$38,"ウ 中学校",$BQ$9:$BQ$38,"ア 素手で殴る・叩く")</f>
        <v>0</v>
      </c>
      <c r="DC49" s="66">
        <f>COUNTIFS($N$9:$N$38,"ウ 中学校",$BQ$9:$BQ$38,"イ 棒などで殴る・叩く")</f>
        <v>0</v>
      </c>
      <c r="DD49" s="66">
        <f>COUNTIFS($N$9:$N$38,"ウ 中学校",$BQ$9:$BQ$38,"ウ 蹴る・踏みつける")</f>
        <v>0</v>
      </c>
      <c r="DE49" s="66">
        <f>COUNTIFS($N$9:$N$38,"ウ 中学校",$BQ$9:$BQ$38,"エ 投げる・突き飛ばす・転倒させる")</f>
        <v>0</v>
      </c>
      <c r="DF49" s="66">
        <f>COUNTIFS($N$9:$N$38,"ウ 中学校",$BQ$9:$BQ$38,"オ つねる・ひっかく")</f>
        <v>0</v>
      </c>
      <c r="DG49" s="66">
        <f>COUNTIFS($N$9:$N$38,"ウ 中学校",$BQ$9:$BQ$38,"カ 物をぶつける・投げつける")</f>
        <v>0</v>
      </c>
      <c r="DH49" s="66">
        <f>COUNTIFS($N$9:$N$38,"ウ 中学校",$BQ$9:$BQ$38,"キ 長時間教室等に留め置く")</f>
        <v>0</v>
      </c>
      <c r="DI49" s="65">
        <f>COUNTIFS($N$9:$N$38,"ウ 中学校",$BR$9:$BR$38,1)</f>
        <v>0</v>
      </c>
      <c r="DJ49" s="65">
        <f>COUNTIFS($N$9:$N$38,"ウ 中学校",$BS$9:$BS$38,1)</f>
        <v>0</v>
      </c>
      <c r="DK49" s="65">
        <f>COUNTIFS($N$9:$N$38,"ウ 中学校",$BT$9:$BT$38,1)</f>
        <v>0</v>
      </c>
      <c r="DL49" s="65">
        <f>COUNTIFS($N$9:$N$38,"ウ 中学校",$BU$9:$BU$38,1)</f>
        <v>0</v>
      </c>
      <c r="DM49" s="65">
        <f>COUNTIFS($N$9:$N$38,"ウ 中学校",$BV$9:$BV$38,1)</f>
        <v>0</v>
      </c>
      <c r="DN49" s="65">
        <f>COUNTIFS($N$9:$N$38,"ウ 中学校",$BW$9:$BW$38,1)</f>
        <v>0</v>
      </c>
      <c r="DO49" s="65">
        <f>COUNTIFS($N$9:$N$38,"ウ 中学校",$BX$9:$BX$38,1)</f>
        <v>0</v>
      </c>
      <c r="DP49" s="65">
        <f>COUNTIFS($N$9:$N$38,"ウ 中学校",$BY$9:$BY$38,1)</f>
        <v>0</v>
      </c>
      <c r="DQ49" s="65">
        <f>COUNTIFS($N$9:$N$38,"ウ 中学校",$BZ$9:$BZ$38,1)</f>
        <v>0</v>
      </c>
      <c r="DR49" s="65">
        <f>COUNTIFS($N$9:$N$38,"ウ 中学校",$CA$9:$CA$38,1)</f>
        <v>0</v>
      </c>
      <c r="DS49" s="65">
        <f>COUNTIFS($N$9:$N$38,"ウ 中学校",$CB$9:$CB$38,1)</f>
        <v>0</v>
      </c>
    </row>
    <row r="50" spans="82:127" ht="21.75" customHeight="1" x14ac:dyDescent="0.2">
      <c r="CD50" s="63" t="s">
        <v>73</v>
      </c>
      <c r="CE50" s="65">
        <f>INT(SUMPRODUCT(1/SUBSTITUTE(COUNTIFS(N9:N38,"エ 義務教育学校",Q9:Q38,Q9:Q38),0,31)))</f>
        <v>0</v>
      </c>
      <c r="CF50" s="65">
        <f>COUNTIF($N$9:$N$38,"エ 義務教育学校")</f>
        <v>0</v>
      </c>
      <c r="CG50" s="65">
        <f>COUNTIFS(N9:N38,"エ 義務教育学校",O9:O38,"ア ２０歳代")</f>
        <v>0</v>
      </c>
      <c r="CH50" s="65">
        <f>COUNTIFS(N9:N38,"エ 義務教育学校",O9:O38,"イ ３０歳代")</f>
        <v>0</v>
      </c>
      <c r="CI50" s="65">
        <f>COUNTIFS(N9:N38,"エ 義務教育学校",O9:O38,"ウ ４０歳代")</f>
        <v>0</v>
      </c>
      <c r="CJ50" s="65">
        <f>COUNTIFS(N9:N38,"エ 義務教育学校",O9:O38,"エ ５０歳代")</f>
        <v>0</v>
      </c>
      <c r="CK50" s="65">
        <f>COUNTIFS(N9:N38,"エ 義務教育学校",O9:O38,"オ ６０歳代以上")</f>
        <v>0</v>
      </c>
      <c r="CL50" s="65">
        <f>COUNTIFS($N$9:$N$38,"エ 義務教育学校",$P$9:$P$38,"ア 男性")</f>
        <v>0</v>
      </c>
      <c r="CM50" s="65">
        <f>COUNTIFS($N$9:$N$38,"エ 義務教育学校",$P$9:$P$38,"イ 女性")</f>
        <v>0</v>
      </c>
      <c r="CN50" s="65">
        <f>SUM(AE9:AM38)</f>
        <v>0</v>
      </c>
      <c r="CO50" s="66">
        <f>COUNTIFS($N$9:$N$38,"エ 義務教育学校",$BO$9:$BO$38,"ア 授業中・保育中")</f>
        <v>0</v>
      </c>
      <c r="CP50" s="66">
        <f>COUNTIFS($N$9:$N$38,"エ 義務教育学校",$BO$9:$BO$38,"イ 放課後")</f>
        <v>0</v>
      </c>
      <c r="CQ50" s="66">
        <f>COUNTIFS($N$9:$N$38,"エ 義務教育学校",$BO$9:$BO$38,"ウ 休み時間")</f>
        <v>0</v>
      </c>
      <c r="CR50" s="66">
        <f>COUNTIFS($N$9:$N$38,"エ 義務教育学校",$BO$9:$BO$38,"エ 部活動")</f>
        <v>0</v>
      </c>
      <c r="CS50" s="66">
        <f>COUNTIFS($N$9:$N$38,"エ 義務教育学校",$BO$9:$BO$38,"オ 学校行事")</f>
        <v>0</v>
      </c>
      <c r="CT50" s="66">
        <f>COUNTIFS($N$9:$N$38,"エ 義務教育学校",$BO$9:$BO$38,"カ ホームルーム")</f>
        <v>0</v>
      </c>
      <c r="CU50" s="66">
        <f>COUNTIFS($N$9:$N$38,"エ 義務教育学校",$BO$9:$BO$38,"キ その他")</f>
        <v>0</v>
      </c>
      <c r="CV50" s="66">
        <f>COUNTIFS($N$9:$N$38,"エ 義務教育学校",$BP$9:$BP$38,"ア 教室・保育室")</f>
        <v>0</v>
      </c>
      <c r="CW50" s="66">
        <f>COUNTIFS($N$9:$N$38,"エ 義務教育学校",$BP$9:$BP$38,"イ 職員室")</f>
        <v>0</v>
      </c>
      <c r="CX50" s="66">
        <f>COUNTIFS($N$9:$N$38,"エ 義務教育学校",$BP$9:$BP$38,"ウ 運動場・園庭、体育館・遊戯室")</f>
        <v>0</v>
      </c>
      <c r="CY50" s="66">
        <f>COUNTIFS($N$9:$N$38,"エ 義務教育学校",$BP$9:$BP$38,"エ 生徒指導室")</f>
        <v>0</v>
      </c>
      <c r="CZ50" s="66">
        <f>COUNTIFS($N$9:$N$38,"エ 義務教育学校",$BP$9:$BP$38,"オ 廊下、階段")</f>
        <v>0</v>
      </c>
      <c r="DA50" s="66">
        <f>COUNTIFS($N$9:$N$38,"エ 義務教育学校",$BP$9:$BP$38,"カ その他")</f>
        <v>0</v>
      </c>
      <c r="DB50" s="66">
        <f>COUNTIFS($N$9:$N$38,"エ 義務教育学校",$BQ$9:$BQ$38,"ア 素手で殴る・叩く")</f>
        <v>0</v>
      </c>
      <c r="DC50" s="66">
        <f>COUNTIFS($N$9:$N$38,"エ 義務教育学校",$BQ$9:$BQ$38,"イ 棒などで殴る・叩く")</f>
        <v>0</v>
      </c>
      <c r="DD50" s="66">
        <f>COUNTIFS($N$9:$N$38,"エ 義務教育学校",$BQ$9:$BQ$38,"ウ 蹴る・踏みつける")</f>
        <v>0</v>
      </c>
      <c r="DE50" s="66">
        <f>COUNTIFS($N$9:$N$38,"エ 義務教育学校",$BQ$9:$BQ$38,"エ 投げる・突き飛ばす・転倒させる")</f>
        <v>0</v>
      </c>
      <c r="DF50" s="66">
        <f>COUNTIFS($N$9:$N$38,"エ 義務教育学校",$BQ$9:$BQ$38,"オ つねる・ひっかく")</f>
        <v>0</v>
      </c>
      <c r="DG50" s="66">
        <f>COUNTIFS($N$9:$N$38,"エ 義務教育学校",$BQ$9:$BQ$38,"カ 物をぶつける・投げつける")</f>
        <v>0</v>
      </c>
      <c r="DH50" s="66">
        <f>COUNTIFS($N$9:$N$38,"エ 義務教育学校",$BQ$9:$BQ$38,"キ 長時間教室等に留め置く")</f>
        <v>0</v>
      </c>
      <c r="DI50" s="65">
        <f>COUNTIFS($N$9:$N$38,"エ 義務教育学校",$BR$9:$BR$38,1)</f>
        <v>0</v>
      </c>
      <c r="DJ50" s="65">
        <f>COUNTIFS($N$9:$N$38,"エ 義務教育学校",$BS$9:$BS$38,1)</f>
        <v>0</v>
      </c>
      <c r="DK50" s="65">
        <f>COUNTIFS($N$9:$N$38,"エ 義務教育学校",$BT$9:$BT$38,1)</f>
        <v>0</v>
      </c>
      <c r="DL50" s="65">
        <f>COUNTIFS($N$9:$N$38,"エ 義務教育学校",$BU$9:$BU$38,1)</f>
        <v>0</v>
      </c>
      <c r="DM50" s="65">
        <f>COUNTIFS($N$9:$N$38,"エ 義務教育学校",$BV$9:$BV$38,1)</f>
        <v>0</v>
      </c>
      <c r="DN50" s="65">
        <f>COUNTIFS($N$9:$N$38,"エ 義務教育学校",$BW$9:$BW$38,1)</f>
        <v>0</v>
      </c>
      <c r="DO50" s="65">
        <f>COUNTIFS($N$9:$N$38,"エ 義務教育学校",$BX$9:$BX$38,1)</f>
        <v>0</v>
      </c>
      <c r="DP50" s="65">
        <f>COUNTIFS($N$9:$N$38,"エ 義務教育学校",$BY$9:$BY$38,1)</f>
        <v>0</v>
      </c>
      <c r="DQ50" s="65">
        <f>COUNTIFS($N$9:$N$38,"エ 義務教育学校",$BZ$9:$BZ$38,1)</f>
        <v>0</v>
      </c>
      <c r="DR50" s="65">
        <f>COUNTIFS($N$9:$N$38,"エ 義務教育学校",$CA$9:$CA$38,1)</f>
        <v>0</v>
      </c>
      <c r="DS50" s="65">
        <f>COUNTIFS($N$9:$N$38,"エ 義務教育学校",$CB$9:$CB$38,1)</f>
        <v>0</v>
      </c>
    </row>
    <row r="51" spans="82:127" ht="21.75" customHeight="1" x14ac:dyDescent="0.2">
      <c r="CD51" s="63" t="s">
        <v>74</v>
      </c>
      <c r="CE51" s="65">
        <f>INT(SUMPRODUCT(1/SUBSTITUTE(COUNTIFS(N9:N38,"オ 高等学校",Q9:Q38,Q9:Q38),0,31)))</f>
        <v>0</v>
      </c>
      <c r="CF51" s="65">
        <f>COUNTIF($N$9:$N$38,"オ 高等学校")</f>
        <v>0</v>
      </c>
      <c r="CG51" s="65">
        <f>COUNTIFS(N9:N38,"オ 高等学校",O9:O38,"ア ２０歳代")</f>
        <v>0</v>
      </c>
      <c r="CH51" s="65">
        <f>COUNTIFS(N9:N38,"オ 高等学校",O9:O38,"イ ３０歳代")</f>
        <v>0</v>
      </c>
      <c r="CI51" s="65">
        <f>COUNTIFS(N9:N38,"オ 高等学校",O9:O38,"ウ ４０歳代")</f>
        <v>0</v>
      </c>
      <c r="CJ51" s="65">
        <f>COUNTIFS(N9:N38,"オ 高等学校",O9:O38,"エ ５０歳代")</f>
        <v>0</v>
      </c>
      <c r="CK51" s="65">
        <f>COUNTIFS(N9:N38,"オ 高等学校",O9:O38,"オ ６０歳代以上")</f>
        <v>0</v>
      </c>
      <c r="CL51" s="65">
        <f>COUNTIFS($N$9:$N$38,"オ 高等学校",$P$9:$P$38,"ア 男性")</f>
        <v>0</v>
      </c>
      <c r="CM51" s="65">
        <f>COUNTIFS($N$9:$N$38,"オ 高等学校",$P$9:$P$38,"イ 女性")</f>
        <v>0</v>
      </c>
      <c r="CN51" s="65">
        <f>SUM(AN9:AQ38)</f>
        <v>0</v>
      </c>
      <c r="CO51" s="66">
        <f>COUNTIFS($N$9:$N$38,"オ 高等学校",$BO$9:$BO$38,"ア 授業中・保育中")</f>
        <v>0</v>
      </c>
      <c r="CP51" s="66">
        <f>COUNTIFS($N$9:$N$38,"オ 高等学校",$BO$9:$BO$38,"イ 放課後")</f>
        <v>0</v>
      </c>
      <c r="CQ51" s="66">
        <f>COUNTIFS($N$9:$N$38,"オ 高等学校",$BO$9:$BO$38,"ウ 休み時間")</f>
        <v>0</v>
      </c>
      <c r="CR51" s="66">
        <f>COUNTIFS($N$9:$N$38,"オ 高等学校",$BO$9:$BO$38,"エ 部活動")</f>
        <v>0</v>
      </c>
      <c r="CS51" s="66">
        <f>COUNTIFS($N$9:$N$38,"オ 高等学校",$BO$9:$BO$38,"オ 学校行事")</f>
        <v>0</v>
      </c>
      <c r="CT51" s="66">
        <f>COUNTIFS($N$9:$N$38,"オ 高等学校",$BO$9:$BO$38,"カ ホームルーム")</f>
        <v>0</v>
      </c>
      <c r="CU51" s="66">
        <f>COUNTIFS($N$9:$N$38,"オ 高等学校",$BO$9:$BO$38,"キ その他")</f>
        <v>0</v>
      </c>
      <c r="CV51" s="66">
        <f>COUNTIFS($N$9:$N$38,"オ 高等学校",$BP$9:$BP$38,"ア 教室・保育室")</f>
        <v>0</v>
      </c>
      <c r="CW51" s="66">
        <f>COUNTIFS($N$9:$N$38,"オ 高等学校",$BP$9:$BP$38,"イ 職員室")</f>
        <v>0</v>
      </c>
      <c r="CX51" s="66">
        <f>COUNTIFS($N$9:$N$38,"オ 高等学校",$BP$9:$BP$38,"ウ 運動場・園庭、体育館・遊戯室")</f>
        <v>0</v>
      </c>
      <c r="CY51" s="66">
        <f>COUNTIFS($N$9:$N$38,"オ 高等学校",$BP$9:$BP$38,"エ 生徒指導室")</f>
        <v>0</v>
      </c>
      <c r="CZ51" s="66">
        <f>COUNTIFS($N$9:$N$38,"オ 高等学校",$BP$9:$BP$38,"オ 廊下、階段")</f>
        <v>0</v>
      </c>
      <c r="DA51" s="66">
        <f>COUNTIFS($N$9:$N$38,"オ 高等学校",$BP$9:$BP$38,"カ その他")</f>
        <v>0</v>
      </c>
      <c r="DB51" s="66">
        <f>COUNTIFS($N$9:$N$38,"オ 高等学校",$BQ$9:$BQ$38,"ア 素手で殴る・叩く")</f>
        <v>0</v>
      </c>
      <c r="DC51" s="66">
        <f>COUNTIFS($N$9:$N$38,"オ 高等学校",$BQ$9:$BQ$38,"イ 棒などで殴る・叩く")</f>
        <v>0</v>
      </c>
      <c r="DD51" s="66">
        <f>COUNTIFS($N$9:$N$38,"オ 高等学校",$BQ$9:$BQ$38,"ウ 蹴る・踏みつける")</f>
        <v>0</v>
      </c>
      <c r="DE51" s="66">
        <f>COUNTIFS($N$9:$N$38,"オ 高等学校",$BQ$9:$BQ$38,"エ 投げる・突き飛ばす・転倒させる")</f>
        <v>0</v>
      </c>
      <c r="DF51" s="66">
        <f>COUNTIFS($N$9:$N$38,"オ 高等学校",$BQ$9:$BQ$38,"オ つねる・ひっかく")</f>
        <v>0</v>
      </c>
      <c r="DG51" s="66">
        <f>COUNTIFS($N$9:$N$38,"オ 高等学校",$BQ$9:$BQ$38,"カ 物をぶつける・投げつける")</f>
        <v>0</v>
      </c>
      <c r="DH51" s="66">
        <f>COUNTIFS($N$9:$N$38,"オ 高等学校",$BQ$9:$BQ$38,"キ 長時間教室等に留め置く")</f>
        <v>0</v>
      </c>
      <c r="DI51" s="65">
        <f>COUNTIFS($N$9:$N$38,"オ 高等学校",$BR$9:$BR$38,1)</f>
        <v>0</v>
      </c>
      <c r="DJ51" s="65">
        <f>COUNTIFS($N$9:$N$38,"オ 高等学校",$BS$9:$BS$38,1)</f>
        <v>0</v>
      </c>
      <c r="DK51" s="65">
        <f>COUNTIFS($N$9:$N$38,"オ 高等学校",$BT$9:$BT$38,1)</f>
        <v>0</v>
      </c>
      <c r="DL51" s="65">
        <f>COUNTIFS($N$9:$N$38,"オ 高等学校",$BU$9:$BU$38,1)</f>
        <v>0</v>
      </c>
      <c r="DM51" s="65">
        <f>COUNTIFS($N$9:$N$38,"オ 高等学校",$BV$9:$BV$38,1)</f>
        <v>0</v>
      </c>
      <c r="DN51" s="65">
        <f>COUNTIFS($N$9:$N$38,"オ 高等学校",$BW$9:$BW$38,1)</f>
        <v>0</v>
      </c>
      <c r="DO51" s="65">
        <f>COUNTIFS($N$9:$N$38,"オ 高等学校",$BX$9:$BX$38,1)</f>
        <v>0</v>
      </c>
      <c r="DP51" s="65">
        <f>COUNTIFS($N$9:$N$38,"オ 高等学校",$BY$9:$BY$38,1)</f>
        <v>0</v>
      </c>
      <c r="DQ51" s="65">
        <f>COUNTIFS($N$9:$N$38,"オ 高等学校",$BZ$9:$BZ$38,1)</f>
        <v>0</v>
      </c>
      <c r="DR51" s="65">
        <f>COUNTIFS($N$9:$N$38,"オ 高等学校",$CA$9:$CA$38,1)</f>
        <v>0</v>
      </c>
      <c r="DS51" s="65">
        <f>COUNTIFS($N$9:$N$38,"オ 高等学校",$CB$9:$CB$38,1)</f>
        <v>0</v>
      </c>
    </row>
    <row r="52" spans="82:127" ht="21.75" customHeight="1" x14ac:dyDescent="0.2">
      <c r="CD52" s="63" t="s">
        <v>75</v>
      </c>
      <c r="CE52" s="65">
        <f>INT(SUMPRODUCT(1/SUBSTITUTE(COUNTIFS(N9:N38,"カ 中等教育学校",Q9:Q38,Q9:Q38),0,31)))</f>
        <v>0</v>
      </c>
      <c r="CF52" s="65">
        <f>COUNTIF($N$9:$N$38,"カ 中等教育学校")</f>
        <v>0</v>
      </c>
      <c r="CG52" s="65">
        <f>COUNTIFS(N9:N38,"カ 中等教育学校",O9:O38,"ア ２０歳代")</f>
        <v>0</v>
      </c>
      <c r="CH52" s="65">
        <f>COUNTIFS(N9:N38,"カ 中等教育学校",O9:O38,"イ ３０歳代")</f>
        <v>0</v>
      </c>
      <c r="CI52" s="65">
        <f>COUNTIFS(N9:N38,"カ 中等教育学校",O9:O38,"ウ ４０歳代")</f>
        <v>0</v>
      </c>
      <c r="CJ52" s="65">
        <f>COUNTIFS(N9:N38,"カ 中等教育学校",O9:O38,"エ ５０歳代")</f>
        <v>0</v>
      </c>
      <c r="CK52" s="65">
        <f>COUNTIFS(N9:N38,"カ 中等教育学校",O9:O38,"オ ６０歳代以上")</f>
        <v>0</v>
      </c>
      <c r="CL52" s="65">
        <f>COUNTIFS($N$9:$N$38,"カ 中等教育学校",$P$9:$P$38,"ア 男性")</f>
        <v>0</v>
      </c>
      <c r="CM52" s="65">
        <f>COUNTIFS($N$9:$N$38,"カ 中等教育学校",$P$9:$P$38,"イ 女性")</f>
        <v>0</v>
      </c>
      <c r="CN52" s="65">
        <f>SUM(AR9:AY38)</f>
        <v>0</v>
      </c>
      <c r="CO52" s="66">
        <f>COUNTIFS($N$9:$N$38,"カ 中等教育学校",$BO$9:$BO$38,"ア 授業中・保育中")</f>
        <v>0</v>
      </c>
      <c r="CP52" s="66">
        <f>COUNTIFS($N$9:$N$38,"カ 中等教育学校",$BO$9:$BO$38,"イ 放課後")</f>
        <v>0</v>
      </c>
      <c r="CQ52" s="66">
        <f>COUNTIFS($N$9:$N$38,"カ 中等教育学校",$BO$9:$BO$38,"ウ 休み時間")</f>
        <v>0</v>
      </c>
      <c r="CR52" s="66">
        <f>COUNTIFS($N$9:$N$38,"カ 中等教育学校",$BO$9:$BO$38,"エ 部活動")</f>
        <v>0</v>
      </c>
      <c r="CS52" s="66">
        <f>COUNTIFS($N$9:$N$38,"カ 中等教育学校",$BO$9:$BO$38,"オ 学校行事")</f>
        <v>0</v>
      </c>
      <c r="CT52" s="66">
        <f>COUNTIFS($N$9:$N$38,"カ 中等教育学校",$BO$9:$BO$38,"カ ホームルーム")</f>
        <v>0</v>
      </c>
      <c r="CU52" s="66">
        <f>COUNTIFS($N$9:$N$38,"カ 中等教育学校",$BO$9:$BO$38,"キ その他")</f>
        <v>0</v>
      </c>
      <c r="CV52" s="66">
        <f>COUNTIFS($N$9:$N$38,"カ 中等教育学校",$BP$9:$BP$38,"ア 教室・保育室")</f>
        <v>0</v>
      </c>
      <c r="CW52" s="66">
        <f>COUNTIFS($N$9:$N$38,"カ 中等教育学校",$BP$9:$BP$38,"イ 職員室")</f>
        <v>0</v>
      </c>
      <c r="CX52" s="66">
        <f>COUNTIFS($N$9:$N$38,"カ 中等教育学校",$BP$9:$BP$38,"ウ 運動場・園庭、体育館・遊戯室")</f>
        <v>0</v>
      </c>
      <c r="CY52" s="66">
        <f>COUNTIFS($N$9:$N$38,"カ 中等教育学校",$BP$9:$BP$38,"エ 生徒指導室")</f>
        <v>0</v>
      </c>
      <c r="CZ52" s="66">
        <f>COUNTIFS($N$9:$N$38,"カ 中等教育学校",$BP$9:$BP$38,"オ 廊下、階段")</f>
        <v>0</v>
      </c>
      <c r="DA52" s="66">
        <f>COUNTIFS($N$9:$N$38,"カ 中等教育学校",$BP$9:$BP$38,"カ その他")</f>
        <v>0</v>
      </c>
      <c r="DB52" s="66">
        <f>COUNTIFS($N$9:$N$38,"カ 中等教育学校",$BQ$9:$BQ$38,"ア 素手で殴る・叩く")</f>
        <v>0</v>
      </c>
      <c r="DC52" s="66">
        <f>COUNTIFS($N$9:$N$38,"カ 中等教育学校",$BQ$9:$BQ$38,"イ 棒などで殴る・叩く")</f>
        <v>0</v>
      </c>
      <c r="DD52" s="66">
        <f>COUNTIFS($N$9:$N$38,"カ 中等教育学校",$BQ$9:$BQ$38,"ウ 蹴る・踏みつける")</f>
        <v>0</v>
      </c>
      <c r="DE52" s="66">
        <f>COUNTIFS($N$9:$N$38,"カ 中等教育学校",$BQ$9:$BQ$38,"エ 投げる・突き飛ばす・転倒させる")</f>
        <v>0</v>
      </c>
      <c r="DF52" s="66">
        <f>COUNTIFS($N$9:$N$38,"カ 中等教育学校",$BQ$9:$BQ$38,"オ つねる・ひっかく")</f>
        <v>0</v>
      </c>
      <c r="DG52" s="66">
        <f>COUNTIFS($N$9:$N$38,"カ 中等教育学校",$BQ$9:$BQ$38,"カ 物をぶつける・投げつける")</f>
        <v>0</v>
      </c>
      <c r="DH52" s="66">
        <f>COUNTIFS($N$9:$N$38,"カ 中等教育学校",$BQ$9:$BQ$38,"キ 長時間教室等に留め置く")</f>
        <v>0</v>
      </c>
      <c r="DI52" s="65">
        <f>COUNTIFS($N$9:$N$38,"カ 中等教育学校",$BR$9:$BR$38,1)</f>
        <v>0</v>
      </c>
      <c r="DJ52" s="65">
        <f>COUNTIFS($N$9:$N$38,"カ 中等教育学校",$BS$9:$BS$38,1)</f>
        <v>0</v>
      </c>
      <c r="DK52" s="65">
        <f>COUNTIFS($N$9:$N$38,"カ 中等教育学校",$BT$9:$BT$38,1)</f>
        <v>0</v>
      </c>
      <c r="DL52" s="65">
        <f>COUNTIFS($N$9:$N$38,"カ 中等教育学校",$BU$9:$BU$38,1)</f>
        <v>0</v>
      </c>
      <c r="DM52" s="65">
        <f>COUNTIFS($N$9:$N$38,"カ 中等教育学校",$BV$9:$BV$38,1)</f>
        <v>0</v>
      </c>
      <c r="DN52" s="65">
        <f>COUNTIFS($N$9:$N$38,"カ 中等教育学校",$BW$9:$BW$38,1)</f>
        <v>0</v>
      </c>
      <c r="DO52" s="65">
        <f>COUNTIFS($N$9:$N$38,"カ 中等教育学校",$BX$9:$BX$38,1)</f>
        <v>0</v>
      </c>
      <c r="DP52" s="65">
        <f>COUNTIFS($N$9:$N$38,"カ 中等教育学校",$BY$9:$BY$38,1)</f>
        <v>0</v>
      </c>
      <c r="DQ52" s="65">
        <f>COUNTIFS($N$9:$N$38,"カ 中等教育学校",$BZ$9:$BZ$38,1)</f>
        <v>0</v>
      </c>
      <c r="DR52" s="65">
        <f>COUNTIFS($N$9:$N$38,"カ 中等教育学校",$CA$9:$CA$38,1)</f>
        <v>0</v>
      </c>
      <c r="DS52" s="65">
        <f>COUNTIFS($N$9:$N$38,"カ 中等教育学校",$CB$9:$CB$38,1)</f>
        <v>0</v>
      </c>
    </row>
    <row r="53" spans="82:127" ht="21.75" customHeight="1" x14ac:dyDescent="0.2">
      <c r="CD53" s="63" t="s">
        <v>76</v>
      </c>
      <c r="CE53" s="65">
        <f>INT(SUMPRODUCT(1/SUBSTITUTE(COUNTIFS(N9:N38,"キ 特別支援学校",Q9:Q38,Q9:Q38),0,31)))</f>
        <v>0</v>
      </c>
      <c r="CF53" s="65">
        <f>COUNTIF($N$9:$N$38,"キ 特別支援学校")</f>
        <v>0</v>
      </c>
      <c r="CG53" s="65">
        <f>COUNTIFS(N9:N38,"キ 特別支援学校",O9:O38,"ア ２０歳代")</f>
        <v>0</v>
      </c>
      <c r="CH53" s="65">
        <f>COUNTIFS(N9:N38,"キ 特別支援学校",O9:O38,"イ ３０歳代")</f>
        <v>0</v>
      </c>
      <c r="CI53" s="65">
        <f>COUNTIFS(N9:N38,"キ 特別支援学校",O9:O38,"ウ ４０歳代")</f>
        <v>0</v>
      </c>
      <c r="CJ53" s="65">
        <f>COUNTIFS(N9:N38,"キ 特別支援学校",O9:O38,"エ ５０歳代")</f>
        <v>0</v>
      </c>
      <c r="CK53" s="65">
        <f>COUNTIFS(N9:N38,"キ 特別支援学校",O9:O38,"オ ６０歳代以上")</f>
        <v>0</v>
      </c>
      <c r="CL53" s="65">
        <f>COUNTIFS($N$9:$N$38,"キ 特別支援学校",$P$9:$P$38,"ア 男性")</f>
        <v>0</v>
      </c>
      <c r="CM53" s="65">
        <f>COUNTIFS($N$9:$N$38,"キ 特別支援学校",$P$9:$P$38,"イ 女性")</f>
        <v>0</v>
      </c>
      <c r="CN53" s="65">
        <f>SUM(AZ9:BN38)</f>
        <v>0</v>
      </c>
      <c r="CO53" s="66">
        <f>COUNTIFS($N$9:$N$38,"キ 特別支援学校",$BO$9:$BO$38,"ア 授業中・保育中")</f>
        <v>0</v>
      </c>
      <c r="CP53" s="66">
        <f>COUNTIFS($N$9:$N$38,"キ 特別支援学校",$BO$9:$BO$38,"イ 放課後")</f>
        <v>0</v>
      </c>
      <c r="CQ53" s="66">
        <f>COUNTIFS($N$9:$N$38,"キ 特別支援学校",$BO$9:$BO$38,"ウ 休み時間")</f>
        <v>0</v>
      </c>
      <c r="CR53" s="66">
        <f>COUNTIFS($N$9:$N$38,"キ 特別支援学校",$BO$9:$BO$38,"エ 部活動")</f>
        <v>0</v>
      </c>
      <c r="CS53" s="66">
        <f>COUNTIFS($N$9:$N$38,"キ 特別支援学校",$BO$9:$BO$38,"オ 学校行事")</f>
        <v>0</v>
      </c>
      <c r="CT53" s="66">
        <f>COUNTIFS($N$9:$N$38,"キ 特別支援学校",$BO$9:$BO$38,"カ ホームルーム")</f>
        <v>0</v>
      </c>
      <c r="CU53" s="66">
        <f>COUNTIFS($N$9:$N$38,"キ 特別支援学校",$BO$9:$BO$38,"キ その他")</f>
        <v>0</v>
      </c>
      <c r="CV53" s="66">
        <f>COUNTIFS($N$9:$N$38,"キ 特別支援学校",$BP$9:$BP$38,"ア 教室・保育室")</f>
        <v>0</v>
      </c>
      <c r="CW53" s="66">
        <f>COUNTIFS($N$9:$N$38,"キ 特別支援学校",$BP$9:$BP$38,"イ 職員室")</f>
        <v>0</v>
      </c>
      <c r="CX53" s="66">
        <f>COUNTIFS($N$9:$N$38,"キ 特別支援学校",$BP$9:$BP$38,"ウ 運動場・園庭、体育館・遊戯室")</f>
        <v>0</v>
      </c>
      <c r="CY53" s="66">
        <f>COUNTIFS($N$9:$N$38,"キ 特別支援学校",$BP$9:$BP$38,"エ 生徒指導室")</f>
        <v>0</v>
      </c>
      <c r="CZ53" s="66">
        <f>COUNTIFS($N$9:$N$38,"キ 特別支援学校",$BP$9:$BP$38,"オ 廊下、階段")</f>
        <v>0</v>
      </c>
      <c r="DA53" s="66">
        <f>COUNTIFS($N$9:$N$38,"キ 特別支援学校",$BP$9:$BP$38,"カ その他")</f>
        <v>0</v>
      </c>
      <c r="DB53" s="66">
        <f>COUNTIFS($N$9:$N$38,"キ 特別支援学校",$BQ$9:$BQ$38,"ア 素手で殴る・叩く")</f>
        <v>0</v>
      </c>
      <c r="DC53" s="66">
        <f>COUNTIFS($N$9:$N$38,"キ 特別支援学校",$BQ$9:$BQ$38,"イ 棒などで殴る・叩く")</f>
        <v>0</v>
      </c>
      <c r="DD53" s="66">
        <f>COUNTIFS($N$9:$N$38,"キ 特別支援学校",$BQ$9:$BQ$38,"ウ 蹴る・踏みつける")</f>
        <v>0</v>
      </c>
      <c r="DE53" s="66">
        <f>COUNTIFS($N$9:$N$38,"キ 特別支援学校",$BQ$9:$BQ$38,"エ 投げる・突き飛ばす・転倒させる")</f>
        <v>0</v>
      </c>
      <c r="DF53" s="66">
        <f>COUNTIFS($N$9:$N$38,"キ 特別支援学校",$BQ$9:$BQ$38,"オ つねる・ひっかく")</f>
        <v>0</v>
      </c>
      <c r="DG53" s="66">
        <f>COUNTIFS($N$9:$N$38,"キ 特別支援学校",$BQ$9:$BQ$38,"カ 物をぶつける・投げつける")</f>
        <v>0</v>
      </c>
      <c r="DH53" s="66">
        <f>COUNTIFS($N$9:$N$38,"キ 特別支援学校",$BQ$9:$BQ$38,"キ 長時間教室等に留め置く")</f>
        <v>0</v>
      </c>
      <c r="DI53" s="65">
        <f>COUNTIFS($N$9:$N$38,"キ 特別支援学校",$BR$9:$BR$38,1)</f>
        <v>0</v>
      </c>
      <c r="DJ53" s="65">
        <f>COUNTIFS($N$9:$N$38,"キ 特別支援学校",$BS$9:$BS$38,1)</f>
        <v>0</v>
      </c>
      <c r="DK53" s="65">
        <f>COUNTIFS($N$9:$N$38,"キ 特別支援学校",$BT$9:$BT$38,1)</f>
        <v>0</v>
      </c>
      <c r="DL53" s="65">
        <f>COUNTIFS($N$9:$N$38,"キ 特別支援学校",$BU$9:$BU$38,1)</f>
        <v>0</v>
      </c>
      <c r="DM53" s="65">
        <f>COUNTIFS($N$9:$N$38,"キ 特別支援学校",$BV$9:$BV$38,1)</f>
        <v>0</v>
      </c>
      <c r="DN53" s="65">
        <f>COUNTIFS($N$9:$N$38,"キ 特別支援学校",$BW$9:$BW$38,1)</f>
        <v>0</v>
      </c>
      <c r="DO53" s="65">
        <f>COUNTIFS($N$9:$N$38,"キ 特別支援学校",$BX$9:$BX$38,1)</f>
        <v>0</v>
      </c>
      <c r="DP53" s="65">
        <f>COUNTIFS($N$9:$N$38,"キ 特別支援学校",$BY$9:$BY$38,1)</f>
        <v>0</v>
      </c>
      <c r="DQ53" s="65">
        <f>COUNTIFS($N$9:$N$38,"キ 特別支援学校",$BZ$9:$BZ$38,1)</f>
        <v>0</v>
      </c>
      <c r="DR53" s="65">
        <f>COUNTIFS($N$9:$N$38,"キ 特別支援学校",$CA$9:$CA$38,1)</f>
        <v>0</v>
      </c>
      <c r="DS53" s="65">
        <f>COUNTIFS($N$9:$N$38,"キ 特別支援学校",$CB$9:$CB$38,1)</f>
        <v>0</v>
      </c>
    </row>
    <row r="54" spans="82:127" ht="21.75" customHeight="1" x14ac:dyDescent="0.2">
      <c r="CD54" s="63" t="s">
        <v>94</v>
      </c>
      <c r="CE54" s="67" t="e">
        <f>INT(SUMPRODUCT(1/SUBSTITUTE(COUNTIFS(N9:N38,"オ 高等学校",Q9:Q38,Q9:Q38,#REF!,"1",#REF!,#REF!),0,31)))</f>
        <v>#REF!</v>
      </c>
      <c r="CF54" s="65" t="e">
        <f>COUNTIFS($N$9:$N$38,"オ 高等学校",#REF!,"1")</f>
        <v>#REF!</v>
      </c>
      <c r="CG54" s="65" t="e">
        <f>COUNTIFS(N9:N38,"オ 高等学校",O9:O38,"ア ２０歳代",#REF!,"1")</f>
        <v>#REF!</v>
      </c>
      <c r="CH54" s="65" t="e">
        <f>COUNTIFS(N9:N38,"オ 高等学校",O9:O38,"イ ３０歳代",#REF!,"1")</f>
        <v>#REF!</v>
      </c>
      <c r="CI54" s="65" t="e">
        <f>COUNTIFS(N9:N38,"オ 高等学校",O9:O38,"ウ ４０歳代",#REF!,"1")</f>
        <v>#REF!</v>
      </c>
      <c r="CJ54" s="65" t="e">
        <f>COUNTIFS(N9:N38,"オ 高等学校",O9:O38,"エ ５０歳代",#REF!,"1")</f>
        <v>#REF!</v>
      </c>
      <c r="CK54" s="65" t="e">
        <f>COUNTIFS(N9:N38,"オ 高等学校",O9:O38,"オ ６０歳代以上",#REF!,"1")</f>
        <v>#REF!</v>
      </c>
      <c r="CL54" s="65" t="e">
        <f>COUNTIFS($N$9:$N$38,"オ 高等学校",$P$9:$P$38,"ア 男性",#REF!,"1")</f>
        <v>#REF!</v>
      </c>
      <c r="CM54" s="65" t="e">
        <f>COUNTIFS($N$9:$N$38,"オ 高等学校",$P$9:$P$38,"イ 女性",#REF!,"1")</f>
        <v>#REF!</v>
      </c>
      <c r="CN54" s="65" t="e">
        <f>SUMIF(#REF!,"１",AN9:AN38)+SUMIF(#REF!,"１",AO9:AO38)+SUMIF(#REF!,"１",AQ9:AQ38)</f>
        <v>#REF!</v>
      </c>
      <c r="CO54" s="66" t="e">
        <f>COUNTIFS($N$9:$N$38,"オ 高等学校",BO9:BO38,"ア 授業中・保育中",#REF!,"1")</f>
        <v>#REF!</v>
      </c>
      <c r="CP54" s="66" t="e">
        <f>COUNTIFS($N$9:$N$38,"オ 高等学校",BO9:BO38,"イ 放課後",#REF!,"1")</f>
        <v>#REF!</v>
      </c>
      <c r="CQ54" s="66" t="e">
        <f>COUNTIFS($N$9:$N$38,"オ 高等学校",BO9:BO38,"ウ 休み時間",#REF!,"1")</f>
        <v>#REF!</v>
      </c>
      <c r="CR54" s="66" t="e">
        <f>COUNTIFS($N$9:$N$38,"オ 高等学校",BO9:BO38,"エ 部活動",#REF!,"1")</f>
        <v>#REF!</v>
      </c>
      <c r="CS54" s="66" t="e">
        <f>COUNTIFS($N$9:$N$38,"オ 高等学校",BO9:BO38,"オ 学校行事",#REF!,"1")</f>
        <v>#REF!</v>
      </c>
      <c r="CT54" s="66" t="e">
        <f>COUNTIFS($N$9:$N$38,"オ 高等学校",BO9:BO38,"カ ホームルーム",#REF!,"1")</f>
        <v>#REF!</v>
      </c>
      <c r="CU54" s="66" t="e">
        <f>COUNTIFS($N$9:$N$38,"オ 高等学校",BO9:BO38,"キ その他",#REF!,"1")</f>
        <v>#REF!</v>
      </c>
      <c r="CV54" s="66" t="e">
        <f>COUNTIFS($N$9:$N$38,"オ 高等学校",$BP$9:$BP$38,"ア 教室・保育室",#REF!,"1")</f>
        <v>#REF!</v>
      </c>
      <c r="CW54" s="66" t="e">
        <f>COUNTIFS($N$9:$N$38,"オ 高等学校",$BP$9:$BP$38,"イ 職員室",#REF!,"1")</f>
        <v>#REF!</v>
      </c>
      <c r="CX54" s="66" t="e">
        <f>COUNTIFS($N$9:$N$38,"オ 高等学校",$BP$9:$BP$38,"ウ 運動場・園庭、体育館・遊戯室",#REF!,"1")</f>
        <v>#REF!</v>
      </c>
      <c r="CY54" s="66" t="e">
        <f>COUNTIFS($N$9:$N$38,"オ 高等学校",$BP$9:$BP$38,"エ 生徒指導室",#REF!,"1")</f>
        <v>#REF!</v>
      </c>
      <c r="CZ54" s="66" t="e">
        <f>COUNTIFS($N$9:$N$38,"オ 高等学校",$BP$9:$BP$38,"オ 廊下、階段",#REF!,"1")</f>
        <v>#REF!</v>
      </c>
      <c r="DA54" s="66" t="e">
        <f>COUNTIFS($N$9:$N$38,"オ 高等学校",$BP$9:$BP$38,"カ その他",#REF!,"1")</f>
        <v>#REF!</v>
      </c>
      <c r="DB54" s="66" t="e">
        <f>COUNTIFS($N$9:$N$38,"オ 高等学校",$BQ$9:$BQ$38,"ア 素手で殴る・叩く",#REF!,"1")</f>
        <v>#REF!</v>
      </c>
      <c r="DC54" s="66" t="e">
        <f>COUNTIFS($N$9:$N$38,"オ 高等学校",$BQ$9:$BQ$38,"イ 棒などで殴る・叩く",#REF!,"1")</f>
        <v>#REF!</v>
      </c>
      <c r="DD54" s="66" t="e">
        <f>COUNTIFS($N$9:$N$38,"オ 高等学校",$BQ$9:$BQ$38,"ウ 蹴る・踏みつける",#REF!,"1")</f>
        <v>#REF!</v>
      </c>
      <c r="DE54" s="66" t="e">
        <f>COUNTIFS($N$9:$N$38,"オ 高等学校",$BQ$9:$BQ$38,"エ 投げる・突き飛ばす・転倒させる",#REF!,"1")</f>
        <v>#REF!</v>
      </c>
      <c r="DF54" s="66" t="e">
        <f>COUNTIFS($N$9:$N$38,"オ 高等学校",$BQ$9:$BQ$38,"オ つねる・ひっかく",#REF!,"1")</f>
        <v>#REF!</v>
      </c>
      <c r="DG54" s="66" t="e">
        <f>COUNTIFS($N$9:$N$38,"オ 高等学校",$BQ$9:$BQ$38,"カ 物をぶつける・投げつける",#REF!,"1")</f>
        <v>#REF!</v>
      </c>
      <c r="DH54" s="66" t="e">
        <f>COUNTIFS($N$9:$N$38,"オ 高等学校",$BQ$9:$BQ$38,"キ 長時間教室等に留め置く",#REF!,"1")</f>
        <v>#REF!</v>
      </c>
      <c r="DI54" s="65" t="e">
        <f>COUNTIFS($N$9:$N$38,"オ 高等学校",$BR$9:$BR$38,1,#REF!,1)</f>
        <v>#REF!</v>
      </c>
      <c r="DJ54" s="65" t="e">
        <f>COUNTIFS($N$9:$N$38,"オ 高等学校",$BS$9:$BS$38,1,#REF!,1)</f>
        <v>#REF!</v>
      </c>
      <c r="DK54" s="65" t="e">
        <f>COUNTIFS($N$9:$N$38,"オ 高等学校",$BT$9:$BT$38,1,#REF!,1)</f>
        <v>#REF!</v>
      </c>
      <c r="DL54" s="65" t="e">
        <f>COUNTIFS($N$9:$N$38,"オ 高等学校",$BU$9:$BU$38,1,#REF!,1)</f>
        <v>#REF!</v>
      </c>
      <c r="DM54" s="65" t="e">
        <f>COUNTIFS($N$9:$N$38,"オ 高等学校",$BV$9:$BV$38,1,#REF!,1)</f>
        <v>#REF!</v>
      </c>
      <c r="DN54" s="65" t="e">
        <f>COUNTIFS($N$9:$N$38,"オ 高等学校",$BW$9:$BW$38,1,#REF!,1)</f>
        <v>#REF!</v>
      </c>
      <c r="DO54" s="65" t="e">
        <f>COUNTIFS($N$9:$N$38,"オ 高等学校",$BX$9:$BX$38,1,#REF!,1)</f>
        <v>#REF!</v>
      </c>
      <c r="DP54" s="65" t="e">
        <f>COUNTIFS($N$9:$N$38,"オ 高等学校",$BY$9:$BY$38,1,#REF!,1)</f>
        <v>#REF!</v>
      </c>
      <c r="DQ54" s="65" t="e">
        <f>COUNTIFS($N$9:$N$38,"オ 高等学校",$BZ$9:$BZ$38,1,#REF!,1)</f>
        <v>#REF!</v>
      </c>
      <c r="DR54" s="65" t="e">
        <f>COUNTIFS($N$9:$N$38,"オ 高等学校",$CA$9:$CA$38,1,#REF!,1)</f>
        <v>#REF!</v>
      </c>
      <c r="DS54" s="65" t="e">
        <f>COUNTIFS($N$9:$N$38,"オ 高等学校",$CB$9:$CB$38,1,#REF!,1)</f>
        <v>#REF!</v>
      </c>
    </row>
    <row r="55" spans="82:127" x14ac:dyDescent="0.2">
      <c r="CG55" s="68" t="s">
        <v>98</v>
      </c>
      <c r="CH55" s="68" t="s">
        <v>99</v>
      </c>
      <c r="CI55" s="68" t="s">
        <v>100</v>
      </c>
      <c r="CJ55" s="68" t="s">
        <v>101</v>
      </c>
      <c r="CK55" s="69" t="s">
        <v>102</v>
      </c>
      <c r="CL55" s="68" t="s">
        <v>103</v>
      </c>
      <c r="CM55" s="68" t="s">
        <v>104</v>
      </c>
      <c r="CN55" s="68"/>
      <c r="CO55" s="68" t="s">
        <v>105</v>
      </c>
      <c r="CP55" s="68" t="s">
        <v>106</v>
      </c>
      <c r="CQ55" s="69" t="s">
        <v>107</v>
      </c>
      <c r="CR55" s="68" t="s">
        <v>108</v>
      </c>
      <c r="CS55" s="68" t="s">
        <v>109</v>
      </c>
      <c r="CT55" s="68" t="s">
        <v>110</v>
      </c>
      <c r="CU55" s="68" t="s">
        <v>111</v>
      </c>
      <c r="CV55" s="68" t="s">
        <v>112</v>
      </c>
      <c r="CW55" s="68" t="s">
        <v>113</v>
      </c>
      <c r="CX55" s="68" t="s">
        <v>114</v>
      </c>
      <c r="CY55" s="68" t="s">
        <v>115</v>
      </c>
      <c r="CZ55" s="68" t="s">
        <v>116</v>
      </c>
      <c r="DA55" s="68" t="s">
        <v>111</v>
      </c>
      <c r="DB55" s="68" t="s">
        <v>185</v>
      </c>
      <c r="DC55" s="68" t="s">
        <v>186</v>
      </c>
      <c r="DD55" s="68" t="s">
        <v>197</v>
      </c>
      <c r="DE55" s="68" t="s">
        <v>187</v>
      </c>
      <c r="DF55" s="68" t="s">
        <v>188</v>
      </c>
      <c r="DG55" s="68" t="s">
        <v>189</v>
      </c>
      <c r="DH55" s="68" t="s">
        <v>190</v>
      </c>
      <c r="DI55" s="68" t="s">
        <v>191</v>
      </c>
      <c r="DJ55" s="68" t="s">
        <v>137</v>
      </c>
      <c r="DK55" s="69" t="s">
        <v>138</v>
      </c>
      <c r="DL55" s="68" t="s">
        <v>139</v>
      </c>
      <c r="DM55" s="68" t="s">
        <v>190</v>
      </c>
      <c r="DN55" s="68" t="s">
        <v>192</v>
      </c>
      <c r="DO55" s="68" t="s">
        <v>193</v>
      </c>
      <c r="DP55" s="68" t="s">
        <v>194</v>
      </c>
      <c r="DQ55" s="68" t="s">
        <v>195</v>
      </c>
      <c r="DR55" s="68" t="s">
        <v>137</v>
      </c>
      <c r="DS55" s="68" t="s">
        <v>190</v>
      </c>
      <c r="DT55" s="68"/>
      <c r="DU55" s="68"/>
      <c r="DV55" s="68"/>
      <c r="DW55" s="68"/>
    </row>
    <row r="58" spans="82:127" ht="13.8" thickBot="1" x14ac:dyDescent="0.25"/>
    <row r="59" spans="82:127" ht="13.8" thickBot="1" x14ac:dyDescent="0.25">
      <c r="CD59" s="133" t="s">
        <v>196</v>
      </c>
      <c r="CE59" s="134"/>
      <c r="CF59" s="134"/>
      <c r="CG59" s="134"/>
      <c r="CH59" s="134"/>
      <c r="CI59" s="134"/>
      <c r="CJ59" s="134"/>
      <c r="CK59" s="134"/>
      <c r="CL59" s="134"/>
      <c r="CM59" s="134"/>
      <c r="CN59" s="134"/>
      <c r="CO59" s="134"/>
      <c r="CP59" s="134"/>
      <c r="CQ59" s="134"/>
      <c r="CR59" s="134"/>
      <c r="CS59" s="134"/>
      <c r="CT59" s="134"/>
      <c r="CU59" s="134"/>
      <c r="CV59" s="134"/>
      <c r="CW59" s="134"/>
      <c r="CX59" s="134"/>
      <c r="CY59" s="134"/>
      <c r="CZ59" s="134"/>
      <c r="DA59" s="134"/>
      <c r="DB59" s="134"/>
      <c r="DC59" s="134"/>
      <c r="DD59" s="134"/>
      <c r="DE59" s="134"/>
      <c r="DF59" s="134"/>
      <c r="DG59" s="134"/>
      <c r="DH59" s="134"/>
      <c r="DI59" s="134"/>
      <c r="DJ59" s="134"/>
      <c r="DK59" s="134"/>
      <c r="DL59" s="134"/>
      <c r="DM59" s="134"/>
      <c r="DN59" s="134"/>
      <c r="DO59" s="134"/>
      <c r="DP59" s="134"/>
      <c r="DQ59" s="134"/>
      <c r="DR59" s="134"/>
      <c r="DS59" s="134"/>
      <c r="DT59" s="134"/>
      <c r="DU59" s="134"/>
      <c r="DV59" s="134"/>
      <c r="DW59" s="135"/>
    </row>
    <row r="60" spans="82:127" x14ac:dyDescent="0.2">
      <c r="CD60" s="123" t="s">
        <v>158</v>
      </c>
      <c r="CE60" s="124"/>
      <c r="CF60" s="124"/>
      <c r="CG60" s="125"/>
      <c r="CH60" s="136" t="s">
        <v>12</v>
      </c>
      <c r="CI60" s="137"/>
      <c r="CJ60" s="137"/>
      <c r="CK60" s="137"/>
      <c r="CL60" s="137"/>
      <c r="CM60" s="138"/>
      <c r="CN60" s="145" t="s">
        <v>13</v>
      </c>
      <c r="CO60" s="142"/>
      <c r="CP60" s="143"/>
      <c r="CQ60" s="145" t="s">
        <v>144</v>
      </c>
      <c r="CR60" s="146"/>
      <c r="CS60" s="146"/>
      <c r="CT60" s="146"/>
      <c r="CU60" s="146"/>
      <c r="CV60" s="146"/>
      <c r="CW60" s="146"/>
      <c r="CX60" s="146"/>
      <c r="CY60" s="147"/>
      <c r="CZ60" s="145" t="s">
        <v>14</v>
      </c>
      <c r="DA60" s="142"/>
      <c r="DB60" s="143"/>
      <c r="DC60" s="145" t="s">
        <v>15</v>
      </c>
      <c r="DD60" s="142"/>
      <c r="DE60" s="142"/>
      <c r="DF60" s="142"/>
      <c r="DG60" s="142"/>
      <c r="DH60" s="143"/>
      <c r="DI60" s="130" t="s">
        <v>16</v>
      </c>
      <c r="DJ60" s="131"/>
      <c r="DK60" s="131"/>
      <c r="DL60" s="131"/>
      <c r="DM60" s="131"/>
      <c r="DN60" s="131"/>
      <c r="DO60" s="131"/>
      <c r="DP60" s="131"/>
      <c r="DQ60" s="131"/>
      <c r="DR60" s="131"/>
      <c r="DS60" s="131"/>
      <c r="DT60" s="131"/>
      <c r="DU60" s="131"/>
      <c r="DV60" s="131"/>
      <c r="DW60" s="132"/>
    </row>
    <row r="61" spans="82:127" x14ac:dyDescent="0.2">
      <c r="CD61" s="126"/>
      <c r="CE61" s="127"/>
      <c r="CF61" s="127"/>
      <c r="CG61" s="128"/>
      <c r="CH61" s="139"/>
      <c r="CI61" s="140"/>
      <c r="CJ61" s="140"/>
      <c r="CK61" s="140"/>
      <c r="CL61" s="140"/>
      <c r="CM61" s="141"/>
      <c r="CN61" s="151"/>
      <c r="CO61" s="129"/>
      <c r="CP61" s="144"/>
      <c r="CQ61" s="148"/>
      <c r="CR61" s="149"/>
      <c r="CS61" s="149"/>
      <c r="CT61" s="149"/>
      <c r="CU61" s="149"/>
      <c r="CV61" s="149"/>
      <c r="CW61" s="149"/>
      <c r="CX61" s="149"/>
      <c r="CY61" s="150"/>
      <c r="CZ61" s="151"/>
      <c r="DA61" s="129"/>
      <c r="DB61" s="144"/>
      <c r="DC61" s="151" t="s">
        <v>25</v>
      </c>
      <c r="DD61" s="129"/>
      <c r="DE61" s="129"/>
      <c r="DF61" s="129" t="s">
        <v>26</v>
      </c>
      <c r="DG61" s="129"/>
      <c r="DH61" s="144"/>
      <c r="DI61" s="129" t="s">
        <v>163</v>
      </c>
      <c r="DJ61" s="129"/>
      <c r="DK61" s="129"/>
      <c r="DL61" s="151" t="s">
        <v>27</v>
      </c>
      <c r="DM61" s="129"/>
      <c r="DN61" s="129"/>
      <c r="DO61" s="129"/>
      <c r="DP61" s="129"/>
      <c r="DQ61" s="129"/>
      <c r="DR61" s="129" t="s">
        <v>28</v>
      </c>
      <c r="DS61" s="129"/>
      <c r="DT61" s="129"/>
      <c r="DU61" s="129" t="s">
        <v>29</v>
      </c>
      <c r="DV61" s="129"/>
      <c r="DW61" s="144"/>
    </row>
    <row r="62" spans="82:127" x14ac:dyDescent="0.2">
      <c r="CD62" s="79" t="s">
        <v>162</v>
      </c>
      <c r="CE62" s="78" t="s">
        <v>159</v>
      </c>
      <c r="CF62" s="78" t="s">
        <v>160</v>
      </c>
      <c r="CG62" s="80" t="s">
        <v>161</v>
      </c>
      <c r="CH62" s="72" t="s">
        <v>148</v>
      </c>
      <c r="CI62" s="70" t="s">
        <v>149</v>
      </c>
      <c r="CJ62" s="70" t="s">
        <v>150</v>
      </c>
      <c r="CK62" s="70" t="s">
        <v>151</v>
      </c>
      <c r="CL62" s="70" t="s">
        <v>152</v>
      </c>
      <c r="CM62" s="71" t="s">
        <v>153</v>
      </c>
      <c r="CN62" s="72" t="s">
        <v>148</v>
      </c>
      <c r="CO62" s="70" t="s">
        <v>149</v>
      </c>
      <c r="CP62" s="71" t="s">
        <v>150</v>
      </c>
      <c r="CQ62" s="72" t="s">
        <v>148</v>
      </c>
      <c r="CR62" s="70" t="s">
        <v>149</v>
      </c>
      <c r="CS62" s="70" t="s">
        <v>150</v>
      </c>
      <c r="CT62" s="70" t="s">
        <v>151</v>
      </c>
      <c r="CU62" s="70" t="s">
        <v>152</v>
      </c>
      <c r="CV62" s="70" t="s">
        <v>153</v>
      </c>
      <c r="CW62" s="70" t="s">
        <v>154</v>
      </c>
      <c r="CX62" s="70" t="s">
        <v>155</v>
      </c>
      <c r="CY62" s="71" t="s">
        <v>156</v>
      </c>
      <c r="CZ62" s="72" t="s">
        <v>145</v>
      </c>
      <c r="DA62" s="70" t="s">
        <v>146</v>
      </c>
      <c r="DB62" s="71" t="s">
        <v>147</v>
      </c>
      <c r="DC62" s="72" t="s">
        <v>148</v>
      </c>
      <c r="DD62" s="70" t="s">
        <v>149</v>
      </c>
      <c r="DE62" s="70" t="s">
        <v>150</v>
      </c>
      <c r="DF62" s="70" t="s">
        <v>148</v>
      </c>
      <c r="DG62" s="70" t="s">
        <v>149</v>
      </c>
      <c r="DH62" s="71" t="s">
        <v>150</v>
      </c>
      <c r="DI62" s="70" t="s">
        <v>159</v>
      </c>
      <c r="DJ62" s="70" t="s">
        <v>160</v>
      </c>
      <c r="DK62" s="70" t="s">
        <v>161</v>
      </c>
      <c r="DL62" s="72" t="s">
        <v>148</v>
      </c>
      <c r="DM62" s="70" t="s">
        <v>149</v>
      </c>
      <c r="DN62" s="70" t="s">
        <v>150</v>
      </c>
      <c r="DO62" s="70" t="s">
        <v>151</v>
      </c>
      <c r="DP62" s="70" t="s">
        <v>152</v>
      </c>
      <c r="DQ62" s="70" t="s">
        <v>153</v>
      </c>
      <c r="DR62" s="70" t="s">
        <v>148</v>
      </c>
      <c r="DS62" s="70" t="s">
        <v>149</v>
      </c>
      <c r="DT62" s="70" t="s">
        <v>150</v>
      </c>
      <c r="DU62" s="70" t="s">
        <v>148</v>
      </c>
      <c r="DV62" s="70" t="s">
        <v>149</v>
      </c>
      <c r="DW62" s="71" t="s">
        <v>150</v>
      </c>
    </row>
    <row r="63" spans="82:127" ht="16.8" thickBot="1" x14ac:dyDescent="0.25">
      <c r="CD63" s="81">
        <f t="shared" ref="CD63:DA63" si="19">SUM(R9:R38)</f>
        <v>0</v>
      </c>
      <c r="CE63" s="82">
        <f t="shared" si="19"/>
        <v>0</v>
      </c>
      <c r="CF63" s="82">
        <f t="shared" si="19"/>
        <v>0</v>
      </c>
      <c r="CG63" s="83">
        <f t="shared" si="19"/>
        <v>0</v>
      </c>
      <c r="CH63" s="84">
        <f t="shared" si="19"/>
        <v>0</v>
      </c>
      <c r="CI63" s="82">
        <f t="shared" si="19"/>
        <v>0</v>
      </c>
      <c r="CJ63" s="82">
        <f t="shared" si="19"/>
        <v>0</v>
      </c>
      <c r="CK63" s="82">
        <f t="shared" si="19"/>
        <v>0</v>
      </c>
      <c r="CL63" s="82">
        <f t="shared" si="19"/>
        <v>0</v>
      </c>
      <c r="CM63" s="83">
        <f t="shared" si="19"/>
        <v>0</v>
      </c>
      <c r="CN63" s="84">
        <f t="shared" si="19"/>
        <v>0</v>
      </c>
      <c r="CO63" s="84">
        <f t="shared" si="19"/>
        <v>0</v>
      </c>
      <c r="CP63" s="84">
        <f t="shared" si="19"/>
        <v>0</v>
      </c>
      <c r="CQ63" s="84">
        <f t="shared" si="19"/>
        <v>0</v>
      </c>
      <c r="CR63" s="84">
        <f t="shared" si="19"/>
        <v>0</v>
      </c>
      <c r="CS63" s="84">
        <f t="shared" si="19"/>
        <v>0</v>
      </c>
      <c r="CT63" s="84">
        <f t="shared" si="19"/>
        <v>0</v>
      </c>
      <c r="CU63" s="84">
        <f t="shared" si="19"/>
        <v>0</v>
      </c>
      <c r="CV63" s="84">
        <f t="shared" si="19"/>
        <v>0</v>
      </c>
      <c r="CW63" s="84">
        <f t="shared" si="19"/>
        <v>0</v>
      </c>
      <c r="CX63" s="84">
        <f t="shared" si="19"/>
        <v>0</v>
      </c>
      <c r="CY63" s="84">
        <f t="shared" si="19"/>
        <v>0</v>
      </c>
      <c r="CZ63" s="84">
        <f t="shared" si="19"/>
        <v>0</v>
      </c>
      <c r="DA63" s="82">
        <f t="shared" si="19"/>
        <v>0</v>
      </c>
      <c r="DB63" s="83">
        <f>SUM(AQ9:AQ38)</f>
        <v>0</v>
      </c>
      <c r="DC63" s="84">
        <f>SUM(AR9:AR38)</f>
        <v>0</v>
      </c>
      <c r="DD63" s="82">
        <f>SUM(AS9:AS38)</f>
        <v>0</v>
      </c>
      <c r="DE63" s="82">
        <f>SUM(AU9:AU38)</f>
        <v>0</v>
      </c>
      <c r="DF63" s="82">
        <f>SUM(AV9:AV38)</f>
        <v>0</v>
      </c>
      <c r="DG63" s="82">
        <f>SUM(AW9:AW38)</f>
        <v>0</v>
      </c>
      <c r="DH63" s="83">
        <f t="shared" ref="DH63" si="20">SUM(AY9:AY38)</f>
        <v>0</v>
      </c>
      <c r="DI63" s="82">
        <f>SUM(AZ9:AZ38)</f>
        <v>0</v>
      </c>
      <c r="DJ63" s="82">
        <f>SUM(BA9:BA38)</f>
        <v>0</v>
      </c>
      <c r="DK63" s="82">
        <f>SUM(BB9:BB38)</f>
        <v>0</v>
      </c>
      <c r="DL63" s="84">
        <f t="shared" ref="DL63:DW63" si="21">SUM(BC9:BC38)</f>
        <v>0</v>
      </c>
      <c r="DM63" s="82">
        <f t="shared" si="21"/>
        <v>0</v>
      </c>
      <c r="DN63" s="82">
        <f t="shared" si="21"/>
        <v>0</v>
      </c>
      <c r="DO63" s="82">
        <f t="shared" si="21"/>
        <v>0</v>
      </c>
      <c r="DP63" s="82">
        <f t="shared" si="21"/>
        <v>0</v>
      </c>
      <c r="DQ63" s="82">
        <f t="shared" si="21"/>
        <v>0</v>
      </c>
      <c r="DR63" s="82">
        <f t="shared" si="21"/>
        <v>0</v>
      </c>
      <c r="DS63" s="82">
        <f t="shared" si="21"/>
        <v>0</v>
      </c>
      <c r="DT63" s="82">
        <f t="shared" si="21"/>
        <v>0</v>
      </c>
      <c r="DU63" s="82">
        <f t="shared" si="21"/>
        <v>0</v>
      </c>
      <c r="DV63" s="82">
        <f t="shared" si="21"/>
        <v>0</v>
      </c>
      <c r="DW63" s="83">
        <f t="shared" si="21"/>
        <v>0</v>
      </c>
    </row>
    <row r="64" spans="82:127" ht="16.8" thickBot="1" x14ac:dyDescent="0.25">
      <c r="CG64" s="85">
        <f>SUM(CD63:CG63)</f>
        <v>0</v>
      </c>
      <c r="CM64" s="85">
        <f>SUM(CH63:CM63)</f>
        <v>0</v>
      </c>
      <c r="CO64" s="86"/>
      <c r="CP64" s="85">
        <f>SUM(CN63:CP63)</f>
        <v>0</v>
      </c>
      <c r="CY64" s="87">
        <f>SUM(CQ63:CY63)</f>
        <v>0</v>
      </c>
      <c r="CZ64" s="88"/>
      <c r="DB64" s="87">
        <f>SUM(CZ63:DB63)</f>
        <v>0</v>
      </c>
      <c r="DC64" s="88"/>
      <c r="DH64" s="85">
        <f>SUM(DC63:DH63)</f>
        <v>0</v>
      </c>
      <c r="DK64" s="89"/>
      <c r="DL64" s="89"/>
      <c r="DV64" s="86"/>
      <c r="DW64" s="90">
        <f>SUM(DI63:DW63)</f>
        <v>0</v>
      </c>
    </row>
    <row r="65" ht="13.8" thickTop="1" x14ac:dyDescent="0.2"/>
  </sheetData>
  <mergeCells count="81">
    <mergeCell ref="B5:M5"/>
    <mergeCell ref="B7:C7"/>
    <mergeCell ref="D7:E7"/>
    <mergeCell ref="F7:G7"/>
    <mergeCell ref="H7:I7"/>
    <mergeCell ref="J7:K7"/>
    <mergeCell ref="L7:M7"/>
    <mergeCell ref="DN43:DS44"/>
    <mergeCell ref="CO44:CU44"/>
    <mergeCell ref="CV44:DA44"/>
    <mergeCell ref="CD59:DW59"/>
    <mergeCell ref="CD60:CG61"/>
    <mergeCell ref="CH60:CM61"/>
    <mergeCell ref="CN60:CP61"/>
    <mergeCell ref="CQ60:CY61"/>
    <mergeCell ref="CZ60:DB61"/>
    <mergeCell ref="CE43:CE45"/>
    <mergeCell ref="CF43:CF45"/>
    <mergeCell ref="CG43:CK44"/>
    <mergeCell ref="CL43:CM44"/>
    <mergeCell ref="DI61:DK61"/>
    <mergeCell ref="DC60:DH60"/>
    <mergeCell ref="DI60:DW60"/>
    <mergeCell ref="DC61:DE61"/>
    <mergeCell ref="DF61:DH61"/>
    <mergeCell ref="DL61:DQ61"/>
    <mergeCell ref="DR61:DT61"/>
    <mergeCell ref="CN43:CN45"/>
    <mergeCell ref="CO43:DA43"/>
    <mergeCell ref="DU61:DW61"/>
    <mergeCell ref="DB43:DH44"/>
    <mergeCell ref="DI43:DM44"/>
    <mergeCell ref="BU6:BU8"/>
    <mergeCell ref="CD7:CD8"/>
    <mergeCell ref="CE7:CN7"/>
    <mergeCell ref="CP7:CV7"/>
    <mergeCell ref="CD41:CG42"/>
    <mergeCell ref="AZ6:BN6"/>
    <mergeCell ref="CB6:CB8"/>
    <mergeCell ref="AR7:AU7"/>
    <mergeCell ref="AV7:AY7"/>
    <mergeCell ref="AZ7:BB7"/>
    <mergeCell ref="BC7:BH7"/>
    <mergeCell ref="BI7:BK7"/>
    <mergeCell ref="BL7:BN7"/>
    <mergeCell ref="BW6:BW8"/>
    <mergeCell ref="BX6:BX8"/>
    <mergeCell ref="BY6:BY8"/>
    <mergeCell ref="BZ6:BZ8"/>
    <mergeCell ref="CA6:CA8"/>
    <mergeCell ref="BR6:BR8"/>
    <mergeCell ref="BS6:BS8"/>
    <mergeCell ref="BT6:BT8"/>
    <mergeCell ref="BY4:CB4"/>
    <mergeCell ref="A5:A8"/>
    <mergeCell ref="N5:P7"/>
    <mergeCell ref="Q5:Q8"/>
    <mergeCell ref="R5:BN5"/>
    <mergeCell ref="BO5:BP7"/>
    <mergeCell ref="BQ5:BQ8"/>
    <mergeCell ref="BR5:BV5"/>
    <mergeCell ref="BW5:CB5"/>
    <mergeCell ref="R6:U7"/>
    <mergeCell ref="V6:AA7"/>
    <mergeCell ref="BV6:BV8"/>
    <mergeCell ref="AB6:AD7"/>
    <mergeCell ref="AE6:AM7"/>
    <mergeCell ref="AN6:AQ7"/>
    <mergeCell ref="AR6:AY6"/>
    <mergeCell ref="A3:N3"/>
    <mergeCell ref="Q3:X3"/>
    <mergeCell ref="Y3:AH3"/>
    <mergeCell ref="BY1:CB1"/>
    <mergeCell ref="A2:N2"/>
    <mergeCell ref="O2:AD2"/>
    <mergeCell ref="AE2:AM2"/>
    <mergeCell ref="AN2:BD2"/>
    <mergeCell ref="AI3:AM3"/>
    <mergeCell ref="AN3:BD3"/>
    <mergeCell ref="BY3:CB3"/>
    <mergeCell ref="O3:P3"/>
  </mergeCells>
  <phoneticPr fontId="5"/>
  <conditionalFormatting sqref="AB6:AM38 AR6:BN38">
    <cfRule type="expression" dxfId="0" priority="1">
      <formula>$O$2="株立"</formula>
    </cfRule>
  </conditionalFormatting>
  <dataValidations disablePrompts="1" count="7">
    <dataValidation type="list" allowBlank="1" showInputMessage="1" showErrorMessage="1" sqref="N9:N38" xr:uid="{5D3C2616-EC69-4B20-9534-D0F9B5C8522A}">
      <formula1>"ア 幼稚園,イ 小学校,ウ 中学校,エ 義務教育学校,オ 高等学校,カ 中等教育学校,キ 特別支援学校"</formula1>
    </dataValidation>
    <dataValidation type="list" allowBlank="1" showInputMessage="1" showErrorMessage="1" sqref="P9:P38" xr:uid="{3C73BDE9-DDFE-4ADF-A32C-5AA75FF8F3D8}">
      <formula1>"ア 男性,イ 女性"</formula1>
    </dataValidation>
    <dataValidation type="list" allowBlank="1" showInputMessage="1" showErrorMessage="1" sqref="O9:O38" xr:uid="{9D9BDBB5-0122-4CA5-8DF8-1513924C98F8}">
      <formula1>"ア ２０歳代,イ ３０歳代,ウ ４０歳代,エ ５０歳代,オ ６０歳代以上"</formula1>
    </dataValidation>
    <dataValidation type="list" allowBlank="1" showInputMessage="1" showErrorMessage="1" sqref="BP9:BP38" xr:uid="{9923DE59-0511-419E-B3BE-8BFABC48E571}">
      <formula1>"ア 教室・保育室,イ 職員室,ウ 運動場・園庭、体育館・遊戯室,エ 生徒指導室,オ 廊下、階段,カ その他"</formula1>
    </dataValidation>
    <dataValidation type="list" allowBlank="1" showInputMessage="1" showErrorMessage="1" sqref="BO9:BO38" xr:uid="{19C1FF0B-182C-4C62-9189-76FB06995766}">
      <formula1>"ア 授業中・保育中,イ 放課後,ウ 休み時間,エ 部活動,オ 学校行事,カ ホームルーム,キ その他"</formula1>
    </dataValidation>
    <dataValidation type="list" allowBlank="1" showInputMessage="1" showErrorMessage="1" sqref="BR9:CB38" xr:uid="{2EB85EB5-1E91-466A-A701-E23280A566C1}">
      <formula1>"1"</formula1>
    </dataValidation>
    <dataValidation type="list" allowBlank="1" showInputMessage="1" showErrorMessage="1" sqref="BQ9:BQ38" xr:uid="{640A00A2-B3AA-440B-A32C-E27DC6FD0C2B}">
      <formula1>"ア　威圧的・感情的な言動での指導, イ　事実確認が不十分なまま思い込みでの指導, ウ　組織的な対応を全く考慮しない独断での指導, エ　児童生徒の尊厳やプライバシーを損なうような指導, オ　児童生徒が著しく不安感、圧迫感を感じる場所での指導, カ　他の児童生徒に連帯責任を負わせる等の本人に必要以上の負担感や罪悪感を与える指導, キ　その他 "</formula1>
    </dataValidation>
  </dataValidations>
  <pageMargins left="0.7" right="0.7" top="0.75" bottom="0.75" header="0.3" footer="0.3"/>
  <pageSetup paperSize="8" scale="75" fitToWidth="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D13B-02F4-4DED-8ED7-51827DDCC217}">
  <dimension ref="A1:T28"/>
  <sheetViews>
    <sheetView zoomScaleNormal="100" workbookViewId="0">
      <selection activeCell="N7" sqref="N7"/>
    </sheetView>
  </sheetViews>
  <sheetFormatPr defaultColWidth="9" defaultRowHeight="13.2" x14ac:dyDescent="0.2"/>
  <cols>
    <col min="1" max="1" width="3.88671875" style="4" customWidth="1"/>
    <col min="2" max="2" width="8.44140625" style="4" customWidth="1"/>
    <col min="3" max="3" width="9.5546875" style="4" customWidth="1"/>
    <col min="4" max="20" width="5.33203125" style="4" customWidth="1"/>
    <col min="21" max="16384" width="9" style="94"/>
  </cols>
  <sheetData>
    <row r="1" spans="1:20" ht="19.2" x14ac:dyDescent="0.2">
      <c r="B1" s="93" t="s">
        <v>198</v>
      </c>
      <c r="C1" s="93"/>
      <c r="D1" s="93"/>
      <c r="E1" s="93"/>
      <c r="F1" s="93"/>
      <c r="G1" s="93"/>
      <c r="H1" s="93"/>
      <c r="I1" s="93"/>
      <c r="J1" s="93"/>
      <c r="K1" s="93"/>
      <c r="L1" s="93"/>
      <c r="M1" s="93"/>
      <c r="N1" s="93"/>
      <c r="O1" s="93"/>
      <c r="P1" s="93"/>
      <c r="Q1" s="93"/>
      <c r="R1" s="93"/>
      <c r="S1" s="93"/>
      <c r="T1" s="93"/>
    </row>
    <row r="2" spans="1:20" ht="16.2" x14ac:dyDescent="0.2">
      <c r="B2" s="95"/>
      <c r="C2" s="95"/>
      <c r="D2" s="96"/>
      <c r="E2" s="96"/>
      <c r="F2" s="96"/>
      <c r="G2" s="96"/>
      <c r="H2" s="96"/>
      <c r="I2" s="96"/>
      <c r="J2" s="96"/>
      <c r="K2" s="96"/>
      <c r="L2" s="253" t="s">
        <v>199</v>
      </c>
      <c r="M2" s="253"/>
      <c r="N2" s="253"/>
      <c r="O2" s="253"/>
      <c r="P2" s="253"/>
      <c r="Q2" s="253"/>
      <c r="R2" s="253"/>
      <c r="S2" s="253"/>
      <c r="T2" s="253"/>
    </row>
    <row r="3" spans="1:20" ht="21" customHeight="1" x14ac:dyDescent="0.2">
      <c r="B3" s="254" t="s">
        <v>200</v>
      </c>
      <c r="C3" s="255"/>
      <c r="D3" s="260"/>
      <c r="E3" s="261"/>
      <c r="F3" s="261"/>
      <c r="G3" s="262"/>
      <c r="H3" s="97"/>
      <c r="I3" s="97"/>
      <c r="T3" s="53"/>
    </row>
    <row r="4" spans="1:20" ht="21" customHeight="1" x14ac:dyDescent="0.2">
      <c r="B4" s="256"/>
      <c r="C4" s="257"/>
      <c r="D4" s="263"/>
      <c r="E4" s="264"/>
      <c r="F4" s="264"/>
      <c r="G4" s="265"/>
      <c r="H4" s="97"/>
      <c r="I4" s="97"/>
      <c r="T4" s="53"/>
    </row>
    <row r="5" spans="1:20" ht="21" customHeight="1" x14ac:dyDescent="0.2">
      <c r="B5" s="256"/>
      <c r="C5" s="257"/>
      <c r="D5" s="263"/>
      <c r="E5" s="264"/>
      <c r="F5" s="264"/>
      <c r="G5" s="265"/>
      <c r="H5" s="97"/>
      <c r="I5" s="97"/>
      <c r="J5" s="98"/>
      <c r="K5" s="98"/>
      <c r="L5" s="98"/>
      <c r="M5" s="98"/>
      <c r="N5" s="98"/>
      <c r="O5" s="98"/>
      <c r="T5" s="53"/>
    </row>
    <row r="6" spans="1:20" ht="21" customHeight="1" x14ac:dyDescent="0.2">
      <c r="B6" s="258"/>
      <c r="C6" s="259"/>
      <c r="D6" s="266"/>
      <c r="E6" s="267"/>
      <c r="F6" s="267"/>
      <c r="G6" s="268"/>
      <c r="H6" s="97"/>
      <c r="I6" s="97"/>
      <c r="J6" s="98"/>
      <c r="K6" s="98"/>
      <c r="L6" s="98"/>
      <c r="M6" s="98"/>
      <c r="N6" s="98"/>
      <c r="O6" s="98"/>
      <c r="T6" s="53"/>
    </row>
    <row r="7" spans="1:20" ht="21.6" thickBot="1" x14ac:dyDescent="0.25">
      <c r="B7" s="99"/>
      <c r="C7" s="99"/>
      <c r="D7" s="97"/>
      <c r="E7" s="97"/>
      <c r="F7" s="53"/>
      <c r="G7" s="53"/>
      <c r="H7" s="53"/>
      <c r="I7" s="100"/>
      <c r="J7" s="100"/>
      <c r="K7" s="100"/>
      <c r="L7" s="100"/>
      <c r="M7" s="100"/>
      <c r="N7" s="100"/>
      <c r="O7" s="100"/>
      <c r="P7" s="100"/>
      <c r="Q7" s="100"/>
      <c r="R7" s="68"/>
      <c r="S7" s="68"/>
      <c r="T7" s="68"/>
    </row>
    <row r="8" spans="1:20" ht="13.8" thickBot="1" x14ac:dyDescent="0.25">
      <c r="A8" s="101"/>
      <c r="B8" s="102" t="s">
        <v>201</v>
      </c>
      <c r="C8" s="269" t="s">
        <v>202</v>
      </c>
      <c r="D8" s="270"/>
      <c r="E8" s="270"/>
      <c r="F8" s="270"/>
      <c r="G8" s="270"/>
      <c r="H8" s="270"/>
      <c r="I8" s="270"/>
      <c r="J8" s="270"/>
      <c r="K8" s="270"/>
      <c r="L8" s="270"/>
      <c r="M8" s="270"/>
      <c r="N8" s="270"/>
      <c r="O8" s="271"/>
      <c r="P8" s="94"/>
      <c r="Q8" s="94"/>
      <c r="R8" s="94"/>
      <c r="S8" s="94"/>
      <c r="T8" s="94"/>
    </row>
    <row r="9" spans="1:20" x14ac:dyDescent="0.2">
      <c r="A9" s="101"/>
      <c r="B9" s="103">
        <v>1</v>
      </c>
      <c r="C9" s="250"/>
      <c r="D9" s="251"/>
      <c r="E9" s="251"/>
      <c r="F9" s="251"/>
      <c r="G9" s="251"/>
      <c r="H9" s="251"/>
      <c r="I9" s="251"/>
      <c r="J9" s="251"/>
      <c r="K9" s="251"/>
      <c r="L9" s="251"/>
      <c r="M9" s="251"/>
      <c r="N9" s="251"/>
      <c r="O9" s="252"/>
      <c r="P9" s="94"/>
      <c r="Q9" s="94"/>
      <c r="R9" s="94"/>
      <c r="S9" s="94"/>
      <c r="T9" s="94"/>
    </row>
    <row r="10" spans="1:20" x14ac:dyDescent="0.2">
      <c r="A10" s="101"/>
      <c r="B10" s="104">
        <v>2</v>
      </c>
      <c r="C10" s="250"/>
      <c r="D10" s="251"/>
      <c r="E10" s="251"/>
      <c r="F10" s="251"/>
      <c r="G10" s="251"/>
      <c r="H10" s="251"/>
      <c r="I10" s="251"/>
      <c r="J10" s="251"/>
      <c r="K10" s="251"/>
      <c r="L10" s="251"/>
      <c r="M10" s="251"/>
      <c r="N10" s="251"/>
      <c r="O10" s="252"/>
      <c r="P10" s="94"/>
      <c r="Q10" s="94"/>
      <c r="R10" s="94"/>
      <c r="S10" s="94"/>
      <c r="T10" s="94"/>
    </row>
    <row r="11" spans="1:20" x14ac:dyDescent="0.2">
      <c r="A11" s="101"/>
      <c r="B11" s="104">
        <v>3</v>
      </c>
      <c r="C11" s="250"/>
      <c r="D11" s="251"/>
      <c r="E11" s="251"/>
      <c r="F11" s="251"/>
      <c r="G11" s="251"/>
      <c r="H11" s="251"/>
      <c r="I11" s="251"/>
      <c r="J11" s="251"/>
      <c r="K11" s="251"/>
      <c r="L11" s="251"/>
      <c r="M11" s="251"/>
      <c r="N11" s="251"/>
      <c r="O11" s="252"/>
      <c r="P11" s="94"/>
      <c r="Q11" s="94"/>
      <c r="R11" s="94"/>
      <c r="S11" s="94"/>
      <c r="T11" s="94"/>
    </row>
    <row r="12" spans="1:20" x14ac:dyDescent="0.2">
      <c r="B12" s="104">
        <v>4</v>
      </c>
      <c r="C12" s="250"/>
      <c r="D12" s="251"/>
      <c r="E12" s="251"/>
      <c r="F12" s="251"/>
      <c r="G12" s="251"/>
      <c r="H12" s="251"/>
      <c r="I12" s="251"/>
      <c r="J12" s="251"/>
      <c r="K12" s="251"/>
      <c r="L12" s="251"/>
      <c r="M12" s="251"/>
      <c r="N12" s="251"/>
      <c r="O12" s="252"/>
      <c r="P12" s="94"/>
      <c r="Q12" s="94"/>
      <c r="R12" s="94"/>
      <c r="S12" s="94"/>
      <c r="T12" s="94"/>
    </row>
    <row r="13" spans="1:20" x14ac:dyDescent="0.2">
      <c r="B13" s="104">
        <v>5</v>
      </c>
      <c r="C13" s="250"/>
      <c r="D13" s="251"/>
      <c r="E13" s="251"/>
      <c r="F13" s="251"/>
      <c r="G13" s="251"/>
      <c r="H13" s="251"/>
      <c r="I13" s="251"/>
      <c r="J13" s="251"/>
      <c r="K13" s="251"/>
      <c r="L13" s="251"/>
      <c r="M13" s="251"/>
      <c r="N13" s="251"/>
      <c r="O13" s="252"/>
      <c r="P13" s="94"/>
      <c r="Q13" s="94"/>
      <c r="R13" s="94"/>
      <c r="S13" s="94"/>
      <c r="T13" s="94"/>
    </row>
    <row r="14" spans="1:20" x14ac:dyDescent="0.2">
      <c r="B14" s="104">
        <v>6</v>
      </c>
      <c r="C14" s="250"/>
      <c r="D14" s="251"/>
      <c r="E14" s="251"/>
      <c r="F14" s="251"/>
      <c r="G14" s="251"/>
      <c r="H14" s="251"/>
      <c r="I14" s="251"/>
      <c r="J14" s="251"/>
      <c r="K14" s="251"/>
      <c r="L14" s="251"/>
      <c r="M14" s="251"/>
      <c r="N14" s="251"/>
      <c r="O14" s="252"/>
      <c r="P14" s="94"/>
      <c r="Q14" s="94"/>
      <c r="R14" s="94"/>
      <c r="S14" s="94"/>
      <c r="T14" s="94"/>
    </row>
    <row r="15" spans="1:20" x14ac:dyDescent="0.2">
      <c r="B15" s="104">
        <v>7</v>
      </c>
      <c r="C15" s="250"/>
      <c r="D15" s="251"/>
      <c r="E15" s="251"/>
      <c r="F15" s="251"/>
      <c r="G15" s="251"/>
      <c r="H15" s="251"/>
      <c r="I15" s="251"/>
      <c r="J15" s="251"/>
      <c r="K15" s="251"/>
      <c r="L15" s="251"/>
      <c r="M15" s="251"/>
      <c r="N15" s="251"/>
      <c r="O15" s="252"/>
      <c r="P15" s="94"/>
      <c r="Q15" s="94"/>
      <c r="R15" s="94"/>
      <c r="S15" s="94"/>
      <c r="T15" s="94"/>
    </row>
    <row r="16" spans="1:20" x14ac:dyDescent="0.2">
      <c r="B16" s="104">
        <v>8</v>
      </c>
      <c r="C16" s="250"/>
      <c r="D16" s="251"/>
      <c r="E16" s="251"/>
      <c r="F16" s="251"/>
      <c r="G16" s="251"/>
      <c r="H16" s="251"/>
      <c r="I16" s="251"/>
      <c r="J16" s="251"/>
      <c r="K16" s="251"/>
      <c r="L16" s="251"/>
      <c r="M16" s="251"/>
      <c r="N16" s="251"/>
      <c r="O16" s="252"/>
      <c r="P16" s="94"/>
      <c r="Q16" s="94"/>
      <c r="R16" s="94"/>
      <c r="S16" s="94"/>
      <c r="T16" s="94"/>
    </row>
    <row r="17" spans="1:20" x14ac:dyDescent="0.2">
      <c r="B17" s="104">
        <v>9</v>
      </c>
      <c r="C17" s="250"/>
      <c r="D17" s="251"/>
      <c r="E17" s="251"/>
      <c r="F17" s="251"/>
      <c r="G17" s="251"/>
      <c r="H17" s="251"/>
      <c r="I17" s="251"/>
      <c r="J17" s="251"/>
      <c r="K17" s="251"/>
      <c r="L17" s="251"/>
      <c r="M17" s="251"/>
      <c r="N17" s="251"/>
      <c r="O17" s="252"/>
      <c r="P17" s="94"/>
      <c r="Q17" s="94"/>
      <c r="R17" s="94"/>
      <c r="S17" s="94"/>
      <c r="T17" s="94"/>
    </row>
    <row r="18" spans="1:20" x14ac:dyDescent="0.2">
      <c r="B18" s="104">
        <v>10</v>
      </c>
      <c r="C18" s="250"/>
      <c r="D18" s="251"/>
      <c r="E18" s="251"/>
      <c r="F18" s="251"/>
      <c r="G18" s="251"/>
      <c r="H18" s="251"/>
      <c r="I18" s="251"/>
      <c r="J18" s="251"/>
      <c r="K18" s="251"/>
      <c r="L18" s="251"/>
      <c r="M18" s="251"/>
      <c r="N18" s="251"/>
      <c r="O18" s="252"/>
      <c r="P18" s="94"/>
      <c r="Q18" s="94"/>
      <c r="R18" s="94"/>
      <c r="S18" s="94"/>
      <c r="T18" s="94"/>
    </row>
    <row r="19" spans="1:20" x14ac:dyDescent="0.2">
      <c r="B19" s="104">
        <v>11</v>
      </c>
      <c r="C19" s="250"/>
      <c r="D19" s="251"/>
      <c r="E19" s="251"/>
      <c r="F19" s="251"/>
      <c r="G19" s="251"/>
      <c r="H19" s="251"/>
      <c r="I19" s="251"/>
      <c r="J19" s="251"/>
      <c r="K19" s="251"/>
      <c r="L19" s="251"/>
      <c r="M19" s="251"/>
      <c r="N19" s="251"/>
      <c r="O19" s="252"/>
      <c r="P19" s="94"/>
      <c r="Q19" s="94"/>
      <c r="R19" s="94"/>
      <c r="S19" s="94"/>
      <c r="T19" s="94"/>
    </row>
    <row r="20" spans="1:20" x14ac:dyDescent="0.2">
      <c r="B20" s="104">
        <v>12</v>
      </c>
      <c r="C20" s="250"/>
      <c r="D20" s="251"/>
      <c r="E20" s="251"/>
      <c r="F20" s="251"/>
      <c r="G20" s="251"/>
      <c r="H20" s="251"/>
      <c r="I20" s="251"/>
      <c r="J20" s="251"/>
      <c r="K20" s="251"/>
      <c r="L20" s="251"/>
      <c r="M20" s="251"/>
      <c r="N20" s="251"/>
      <c r="O20" s="252"/>
      <c r="P20" s="94"/>
      <c r="Q20" s="94"/>
      <c r="R20" s="94"/>
      <c r="S20" s="94"/>
      <c r="T20" s="94"/>
    </row>
    <row r="21" spans="1:20" x14ac:dyDescent="0.2">
      <c r="B21" s="104">
        <v>13</v>
      </c>
      <c r="C21" s="250"/>
      <c r="D21" s="251"/>
      <c r="E21" s="251"/>
      <c r="F21" s="251"/>
      <c r="G21" s="251"/>
      <c r="H21" s="251"/>
      <c r="I21" s="251"/>
      <c r="J21" s="251"/>
      <c r="K21" s="251"/>
      <c r="L21" s="251"/>
      <c r="M21" s="251"/>
      <c r="N21" s="251"/>
      <c r="O21" s="252"/>
      <c r="P21" s="94"/>
      <c r="Q21" s="94"/>
      <c r="R21" s="94"/>
      <c r="S21" s="94"/>
      <c r="T21" s="94"/>
    </row>
    <row r="22" spans="1:20" x14ac:dyDescent="0.2">
      <c r="B22" s="104">
        <v>14</v>
      </c>
      <c r="C22" s="250"/>
      <c r="D22" s="251"/>
      <c r="E22" s="251"/>
      <c r="F22" s="251"/>
      <c r="G22" s="251"/>
      <c r="H22" s="251"/>
      <c r="I22" s="251"/>
      <c r="J22" s="251"/>
      <c r="K22" s="251"/>
      <c r="L22" s="251"/>
      <c r="M22" s="251"/>
      <c r="N22" s="251"/>
      <c r="O22" s="252"/>
      <c r="P22" s="94"/>
      <c r="Q22" s="94"/>
      <c r="R22" s="94"/>
      <c r="S22" s="94"/>
      <c r="T22" s="94"/>
    </row>
    <row r="23" spans="1:20" ht="13.8" thickBot="1" x14ac:dyDescent="0.25">
      <c r="B23" s="105">
        <v>15</v>
      </c>
      <c r="C23" s="246"/>
      <c r="D23" s="247"/>
      <c r="E23" s="247"/>
      <c r="F23" s="247"/>
      <c r="G23" s="247"/>
      <c r="H23" s="247"/>
      <c r="I23" s="247"/>
      <c r="J23" s="247"/>
      <c r="K23" s="247"/>
      <c r="L23" s="247"/>
      <c r="M23" s="247"/>
      <c r="N23" s="247"/>
      <c r="O23" s="248"/>
      <c r="P23" s="94"/>
      <c r="Q23" s="94"/>
      <c r="R23" s="94"/>
      <c r="S23" s="94"/>
      <c r="T23" s="94"/>
    </row>
    <row r="25" spans="1:20" x14ac:dyDescent="0.2">
      <c r="A25" s="4" t="s">
        <v>203</v>
      </c>
      <c r="B25" s="249" t="s">
        <v>204</v>
      </c>
      <c r="C25" s="249"/>
      <c r="D25" s="249"/>
      <c r="E25" s="249"/>
      <c r="F25" s="249"/>
      <c r="G25" s="249"/>
      <c r="H25" s="249"/>
      <c r="I25" s="249"/>
      <c r="J25" s="249"/>
      <c r="K25" s="249"/>
      <c r="L25" s="249"/>
      <c r="M25" s="249"/>
      <c r="N25" s="249"/>
      <c r="O25" s="249"/>
      <c r="P25" s="249"/>
      <c r="Q25" s="249"/>
      <c r="R25" s="249"/>
      <c r="S25" s="249"/>
      <c r="T25" s="249"/>
    </row>
    <row r="26" spans="1:20" x14ac:dyDescent="0.2">
      <c r="B26" s="249"/>
      <c r="C26" s="249"/>
      <c r="D26" s="249"/>
      <c r="E26" s="249"/>
      <c r="F26" s="249"/>
      <c r="G26" s="249"/>
      <c r="H26" s="249"/>
      <c r="I26" s="249"/>
      <c r="J26" s="249"/>
      <c r="K26" s="249"/>
      <c r="L26" s="249"/>
      <c r="M26" s="249"/>
      <c r="N26" s="249"/>
      <c r="O26" s="249"/>
      <c r="P26" s="249"/>
      <c r="Q26" s="249"/>
      <c r="R26" s="249"/>
      <c r="S26" s="249"/>
      <c r="T26" s="249"/>
    </row>
    <row r="27" spans="1:20" x14ac:dyDescent="0.2">
      <c r="B27" s="106"/>
      <c r="C27" s="106"/>
      <c r="D27" s="106"/>
      <c r="E27" s="106"/>
      <c r="F27" s="106"/>
      <c r="G27" s="106"/>
      <c r="H27" s="106"/>
      <c r="I27" s="106"/>
      <c r="J27" s="106"/>
      <c r="K27" s="106"/>
      <c r="L27" s="106"/>
      <c r="M27" s="106"/>
      <c r="N27" s="106"/>
      <c r="O27" s="106"/>
      <c r="P27" s="106"/>
      <c r="Q27" s="106"/>
      <c r="R27" s="106"/>
      <c r="S27" s="106"/>
      <c r="T27" s="106"/>
    </row>
    <row r="28" spans="1:20" x14ac:dyDescent="0.2">
      <c r="B28" s="106"/>
      <c r="C28" s="106"/>
      <c r="D28" s="106"/>
      <c r="E28" s="106"/>
      <c r="F28" s="106"/>
      <c r="G28" s="106"/>
      <c r="H28" s="106"/>
      <c r="I28" s="106"/>
      <c r="J28" s="106"/>
      <c r="K28" s="106"/>
      <c r="L28" s="106"/>
      <c r="M28" s="106"/>
      <c r="N28" s="106"/>
      <c r="O28" s="106"/>
      <c r="P28" s="106"/>
      <c r="Q28" s="106"/>
      <c r="R28" s="106"/>
      <c r="S28" s="106"/>
      <c r="T28" s="106"/>
    </row>
  </sheetData>
  <mergeCells count="20">
    <mergeCell ref="C16:O16"/>
    <mergeCell ref="L2:T2"/>
    <mergeCell ref="B3:C6"/>
    <mergeCell ref="D3:G6"/>
    <mergeCell ref="C8:O8"/>
    <mergeCell ref="C9:O9"/>
    <mergeCell ref="C10:O10"/>
    <mergeCell ref="C11:O11"/>
    <mergeCell ref="C12:O12"/>
    <mergeCell ref="C13:O13"/>
    <mergeCell ref="C14:O14"/>
    <mergeCell ref="C15:O15"/>
    <mergeCell ref="C23:O23"/>
    <mergeCell ref="B25:T26"/>
    <mergeCell ref="C17:O17"/>
    <mergeCell ref="C18:O18"/>
    <mergeCell ref="C19:O19"/>
    <mergeCell ref="C20:O20"/>
    <mergeCell ref="C21:O21"/>
    <mergeCell ref="C22:O22"/>
  </mergeCells>
  <phoneticPr fontId="5"/>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様式2-2（別紙）</vt:lpstr>
      <vt:lpstr>様式１!Print_Area</vt:lpstr>
      <vt:lpstr>様式２!Print_Area</vt:lpstr>
      <vt:lpstr>様式１!Print_Titles</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下山　颯大</cp:lastModifiedBy>
  <cp:lastPrinted>2024-10-11T08:35:25Z</cp:lastPrinted>
  <dcterms:created xsi:type="dcterms:W3CDTF">2021-03-04T05:09:17Z</dcterms:created>
  <dcterms:modified xsi:type="dcterms:W3CDTF">2024-10-11T08:35:43Z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2022-08-03T08:10:10Z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1d75dd1f-bd54-4d30-af2e-f8340ce2f386</vt:lpwstr>
  </property>
  <property fmtid="{D5CDD505-2E9C-101B-9397-08002B2CF9AE}" pid="8" name="MSIP_Label_d899a617-f30e-4fb8-b81c-fb6d0b94ac5b_ContentBits">
    <vt:lpwstr>0</vt:lpwstr>
  </property>
</Properties>
</file>