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ndisk-c50001\幼稚園G\幼稚園Gデータ領域\Dai2\ち　調査・資料提供関係\R05　調査関係フォルダ―\対応中\R51108〆【文部科学省】体罰等に係る実態把握について\02_園へ\"/>
    </mc:Choice>
  </mc:AlternateContent>
  <bookViews>
    <workbookView xWindow="-24825" yWindow="1560" windowWidth="24300" windowHeight="13620"/>
  </bookViews>
  <sheets>
    <sheet name="様式１" sheetId="1" r:id="rId1"/>
    <sheet name="様式２" sheetId="5" r:id="rId2"/>
  </sheets>
  <externalReferences>
    <externalReference r:id="rId3"/>
  </externalReferences>
  <definedNames>
    <definedName name="_xlnm.Print_Area" localSheetId="0">様式１!$A$1:$W$40</definedName>
    <definedName name="_xlnm.Print_Area" localSheetId="1">様式２!$A$1:$N$21</definedName>
    <definedName name="_xlnm.Print_Titles" localSheetId="0">様式１!$7:$10</definedName>
    <definedName name="Z_48A2FC4F_1392_43EA_BA5B_A2639390C8CB_.wvu.PrintArea" localSheetId="0" hidden="1">様式１!$A$1:$AG$30</definedName>
    <definedName name="Z_48A2FC4F_1392_43EA_BA5B_A2639390C8CB_.wvu.PrintTitles" localSheetId="0" hidden="1">様式１!$7:$10</definedName>
    <definedName name="県市名">[1]リスト!$A$1:$A$67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K51" i="1" l="1"/>
  <c r="CJ51" i="1"/>
  <c r="CI51" i="1"/>
  <c r="CH51" i="1"/>
  <c r="CG51" i="1"/>
  <c r="CF51" i="1"/>
  <c r="CE51" i="1"/>
  <c r="CD51" i="1"/>
  <c r="CC51" i="1"/>
  <c r="CB51" i="1"/>
  <c r="CA51" i="1"/>
  <c r="BZ51" i="1"/>
  <c r="BY51" i="1"/>
  <c r="BX51" i="1"/>
  <c r="BW51" i="1"/>
  <c r="BV51" i="1"/>
  <c r="BU51" i="1"/>
  <c r="BT51" i="1"/>
  <c r="BS51" i="1"/>
  <c r="BR51" i="1"/>
  <c r="BQ51" i="1"/>
  <c r="BP51" i="1"/>
  <c r="BO51" i="1"/>
  <c r="BN51" i="1"/>
  <c r="BM51" i="1"/>
  <c r="BL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Q51" i="1"/>
  <c r="AP51" i="1"/>
  <c r="AO51" i="1"/>
  <c r="AN51" i="1"/>
  <c r="AM51" i="1"/>
  <c r="AL51" i="1"/>
  <c r="AK51" i="1"/>
  <c r="AJ51" i="1"/>
  <c r="AI51" i="1"/>
  <c r="BB56" i="1"/>
  <c r="BB55" i="1"/>
  <c r="BB54" i="1"/>
  <c r="BB53" i="1"/>
  <c r="BB52" i="1"/>
  <c r="BB50" i="1"/>
  <c r="BB49" i="1"/>
  <c r="AZ56" i="1"/>
  <c r="AZ55" i="1"/>
  <c r="AZ54" i="1"/>
  <c r="AZ53" i="1"/>
  <c r="AZ52" i="1"/>
  <c r="AZ50" i="1"/>
  <c r="AZ49" i="1"/>
  <c r="AR55" i="1"/>
  <c r="AR49" i="1"/>
  <c r="AM49" i="1"/>
  <c r="AL49" i="1"/>
  <c r="AK49" i="1"/>
  <c r="AO49" i="1"/>
  <c r="AN49" i="1"/>
  <c r="AI49" i="1"/>
  <c r="CK49" i="1"/>
  <c r="CJ49" i="1"/>
  <c r="CI49" i="1"/>
  <c r="CH49" i="1"/>
  <c r="CG49" i="1"/>
  <c r="CF49" i="1"/>
  <c r="CE49" i="1"/>
  <c r="CD49" i="1"/>
  <c r="CC49" i="1"/>
  <c r="CB49" i="1"/>
  <c r="CA49" i="1"/>
  <c r="BZ49" i="1"/>
  <c r="BY49" i="1"/>
  <c r="BX49" i="1"/>
  <c r="BW49" i="1"/>
  <c r="BV49" i="1"/>
  <c r="BU49" i="1"/>
  <c r="BT49" i="1"/>
  <c r="BS49" i="1"/>
  <c r="BR49" i="1"/>
  <c r="BQ49" i="1"/>
  <c r="BP49" i="1"/>
  <c r="BO49" i="1"/>
  <c r="BN49" i="1"/>
  <c r="BM49" i="1"/>
  <c r="BL49" i="1"/>
  <c r="BK49" i="1"/>
  <c r="BJ49" i="1"/>
  <c r="BI49" i="1"/>
  <c r="BH49" i="1"/>
  <c r="BG49" i="1"/>
  <c r="BF49" i="1"/>
  <c r="BE49" i="1"/>
  <c r="BD49" i="1"/>
  <c r="BC49" i="1"/>
  <c r="BA49" i="1"/>
  <c r="AY49" i="1"/>
  <c r="AX49" i="1"/>
  <c r="AW49" i="1"/>
  <c r="AV49" i="1"/>
  <c r="AU49" i="1"/>
  <c r="AT49" i="1"/>
  <c r="AS49" i="1"/>
  <c r="AQ49" i="1"/>
  <c r="AP49" i="1"/>
  <c r="AJ49" i="1"/>
  <c r="AS50" i="1"/>
  <c r="AS56" i="1"/>
  <c r="AS55" i="1"/>
  <c r="AS54" i="1"/>
  <c r="AS53" i="1"/>
  <c r="AS52" i="1"/>
  <c r="CK56" i="1"/>
  <c r="CJ56" i="1"/>
  <c r="CI56" i="1"/>
  <c r="CH56" i="1"/>
  <c r="CG56" i="1"/>
  <c r="CF56" i="1"/>
  <c r="CE56" i="1"/>
  <c r="CD56" i="1"/>
  <c r="CC56" i="1"/>
  <c r="CB56" i="1"/>
  <c r="CA56" i="1"/>
  <c r="BZ56" i="1"/>
  <c r="BY56" i="1"/>
  <c r="BX56" i="1"/>
  <c r="BW56" i="1"/>
  <c r="BV56" i="1"/>
  <c r="BU56" i="1"/>
  <c r="BT56" i="1"/>
  <c r="BS56" i="1"/>
  <c r="BR56" i="1"/>
  <c r="BQ56" i="1"/>
  <c r="BP56" i="1"/>
  <c r="BO56" i="1"/>
  <c r="BN56" i="1"/>
  <c r="BM56" i="1"/>
  <c r="BL56" i="1"/>
  <c r="BK56" i="1"/>
  <c r="BJ56" i="1"/>
  <c r="BI56" i="1"/>
  <c r="BH56" i="1"/>
  <c r="BG56" i="1"/>
  <c r="BF56" i="1"/>
  <c r="BE56" i="1"/>
  <c r="BD56" i="1"/>
  <c r="BC56" i="1"/>
  <c r="BA56" i="1"/>
  <c r="AY56" i="1"/>
  <c r="AX56" i="1"/>
  <c r="AW56" i="1"/>
  <c r="AV56" i="1"/>
  <c r="AU56" i="1"/>
  <c r="AT56" i="1"/>
  <c r="AQ56" i="1"/>
  <c r="AP56" i="1"/>
  <c r="AO56" i="1"/>
  <c r="AN56" i="1"/>
  <c r="AM56" i="1"/>
  <c r="AL56" i="1"/>
  <c r="AK56" i="1"/>
  <c r="AJ56" i="1"/>
  <c r="AI56" i="1"/>
  <c r="CK55" i="1"/>
  <c r="CJ55" i="1"/>
  <c r="CI55" i="1"/>
  <c r="CH55" i="1"/>
  <c r="CG55" i="1"/>
  <c r="CF55" i="1"/>
  <c r="CE55" i="1"/>
  <c r="CD55" i="1"/>
  <c r="CC55" i="1"/>
  <c r="CB55" i="1"/>
  <c r="CA55" i="1"/>
  <c r="BZ55" i="1"/>
  <c r="BY55" i="1"/>
  <c r="BX55" i="1"/>
  <c r="BW55" i="1"/>
  <c r="BV55" i="1"/>
  <c r="BU55" i="1"/>
  <c r="BT55" i="1"/>
  <c r="BS55" i="1"/>
  <c r="BR55" i="1"/>
  <c r="BQ55" i="1"/>
  <c r="BP55" i="1"/>
  <c r="BO55" i="1"/>
  <c r="BN55" i="1"/>
  <c r="BM55" i="1"/>
  <c r="BL55" i="1"/>
  <c r="BK55" i="1"/>
  <c r="BJ55" i="1"/>
  <c r="BI55" i="1"/>
  <c r="BH55" i="1"/>
  <c r="BG55" i="1"/>
  <c r="BF55" i="1"/>
  <c r="BE55" i="1"/>
  <c r="BD55" i="1"/>
  <c r="BC55" i="1"/>
  <c r="BA55" i="1"/>
  <c r="AY55" i="1"/>
  <c r="AX55" i="1"/>
  <c r="AW55" i="1"/>
  <c r="AV55" i="1"/>
  <c r="AU55" i="1"/>
  <c r="AT55" i="1"/>
  <c r="AQ55" i="1"/>
  <c r="AP55" i="1"/>
  <c r="AO55" i="1"/>
  <c r="AN55" i="1"/>
  <c r="AM55" i="1"/>
  <c r="AL55" i="1"/>
  <c r="AK55" i="1"/>
  <c r="AJ55" i="1"/>
  <c r="AI55" i="1"/>
  <c r="CK54" i="1"/>
  <c r="CJ54" i="1"/>
  <c r="CI54" i="1"/>
  <c r="CH54" i="1"/>
  <c r="CG54" i="1"/>
  <c r="CF54" i="1"/>
  <c r="CE54" i="1"/>
  <c r="CD54" i="1"/>
  <c r="CC54" i="1"/>
  <c r="CB54" i="1"/>
  <c r="CA54" i="1"/>
  <c r="BZ54" i="1"/>
  <c r="BY54" i="1"/>
  <c r="BX54" i="1"/>
  <c r="BW54" i="1"/>
  <c r="BV54" i="1"/>
  <c r="BU54" i="1"/>
  <c r="BT54" i="1"/>
  <c r="BS54" i="1"/>
  <c r="BR54" i="1"/>
  <c r="BQ54" i="1"/>
  <c r="BP54" i="1"/>
  <c r="BO54" i="1"/>
  <c r="BN54" i="1"/>
  <c r="BM54" i="1"/>
  <c r="BL54" i="1"/>
  <c r="BK54" i="1"/>
  <c r="BJ54" i="1"/>
  <c r="BI54" i="1"/>
  <c r="BH54" i="1"/>
  <c r="BG54" i="1"/>
  <c r="BF54" i="1"/>
  <c r="BE54" i="1"/>
  <c r="BD54" i="1"/>
  <c r="BC54" i="1"/>
  <c r="BA54" i="1"/>
  <c r="AY54" i="1"/>
  <c r="AX54" i="1"/>
  <c r="AW54" i="1"/>
  <c r="AV54" i="1"/>
  <c r="AU54" i="1"/>
  <c r="AT54" i="1"/>
  <c r="AQ54" i="1"/>
  <c r="AP54" i="1"/>
  <c r="AO54" i="1"/>
  <c r="AN54" i="1"/>
  <c r="AM54" i="1"/>
  <c r="AL54" i="1"/>
  <c r="AK54" i="1"/>
  <c r="AJ54" i="1"/>
  <c r="AI54" i="1"/>
  <c r="CK53" i="1"/>
  <c r="CJ53" i="1"/>
  <c r="CI53" i="1"/>
  <c r="CH53" i="1"/>
  <c r="CG53" i="1"/>
  <c r="CF53" i="1"/>
  <c r="CE53" i="1"/>
  <c r="CD53" i="1"/>
  <c r="CC53" i="1"/>
  <c r="CB53" i="1"/>
  <c r="CA53" i="1"/>
  <c r="BZ53" i="1"/>
  <c r="BY53" i="1"/>
  <c r="BX53" i="1"/>
  <c r="BW53" i="1"/>
  <c r="BV53" i="1"/>
  <c r="BU53" i="1"/>
  <c r="BT53" i="1"/>
  <c r="BS53" i="1"/>
  <c r="BR53" i="1"/>
  <c r="BQ53" i="1"/>
  <c r="BP53" i="1"/>
  <c r="BO53" i="1"/>
  <c r="BN53" i="1"/>
  <c r="BM53" i="1"/>
  <c r="BL53" i="1"/>
  <c r="BK53" i="1"/>
  <c r="BJ53" i="1"/>
  <c r="BI53" i="1"/>
  <c r="BH53" i="1"/>
  <c r="BG53" i="1"/>
  <c r="BF53" i="1"/>
  <c r="BE53" i="1"/>
  <c r="BD53" i="1"/>
  <c r="BC53" i="1"/>
  <c r="BA53" i="1"/>
  <c r="AY53" i="1"/>
  <c r="AX53" i="1"/>
  <c r="AW53" i="1"/>
  <c r="AV53" i="1"/>
  <c r="AU53" i="1"/>
  <c r="AT53" i="1"/>
  <c r="AQ53" i="1"/>
  <c r="AP53" i="1"/>
  <c r="AO53" i="1"/>
  <c r="AN53" i="1"/>
  <c r="AM53" i="1"/>
  <c r="AL53" i="1"/>
  <c r="AK53" i="1"/>
  <c r="AJ53" i="1"/>
  <c r="AI53" i="1"/>
  <c r="CK52" i="1"/>
  <c r="CJ52" i="1"/>
  <c r="CI52" i="1"/>
  <c r="CH52" i="1"/>
  <c r="CG52" i="1"/>
  <c r="CF52" i="1"/>
  <c r="CE52" i="1"/>
  <c r="CD52" i="1"/>
  <c r="CC52" i="1"/>
  <c r="CB52" i="1"/>
  <c r="CA52" i="1"/>
  <c r="BZ52" i="1"/>
  <c r="BY52" i="1"/>
  <c r="BX52" i="1"/>
  <c r="BW52" i="1"/>
  <c r="BV52" i="1"/>
  <c r="BU52" i="1"/>
  <c r="BT52" i="1"/>
  <c r="BS52" i="1"/>
  <c r="BR52" i="1"/>
  <c r="BQ52" i="1"/>
  <c r="BP52" i="1"/>
  <c r="BO52" i="1"/>
  <c r="BN52" i="1"/>
  <c r="BM52" i="1"/>
  <c r="BL52" i="1"/>
  <c r="BK52" i="1"/>
  <c r="BJ52" i="1"/>
  <c r="BI52" i="1"/>
  <c r="BH52" i="1"/>
  <c r="BG52" i="1"/>
  <c r="BF52" i="1"/>
  <c r="BE52" i="1"/>
  <c r="BD52" i="1"/>
  <c r="BC52" i="1"/>
  <c r="BA52" i="1"/>
  <c r="AY52" i="1"/>
  <c r="AX52" i="1"/>
  <c r="AW52" i="1"/>
  <c r="AV52" i="1"/>
  <c r="AU52" i="1"/>
  <c r="AT52" i="1"/>
  <c r="AQ52" i="1"/>
  <c r="AP52" i="1"/>
  <c r="AO52" i="1"/>
  <c r="AN52" i="1"/>
  <c r="AM52" i="1"/>
  <c r="AL52" i="1"/>
  <c r="AK52" i="1"/>
  <c r="AJ52" i="1"/>
  <c r="AI52" i="1"/>
  <c r="CK50" i="1"/>
  <c r="CJ50" i="1"/>
  <c r="CI50" i="1"/>
  <c r="CH50" i="1"/>
  <c r="CG50" i="1"/>
  <c r="CF50" i="1"/>
  <c r="CE50" i="1"/>
  <c r="CD50" i="1"/>
  <c r="CC50" i="1"/>
  <c r="CB50" i="1"/>
  <c r="CA50" i="1"/>
  <c r="BZ50" i="1"/>
  <c r="BY50" i="1"/>
  <c r="BX50" i="1"/>
  <c r="BW50" i="1"/>
  <c r="BV50" i="1"/>
  <c r="BU50" i="1"/>
  <c r="BT50" i="1"/>
  <c r="BS50" i="1"/>
  <c r="BR50" i="1"/>
  <c r="BQ50" i="1"/>
  <c r="BP50" i="1"/>
  <c r="BO50" i="1"/>
  <c r="BN50" i="1"/>
  <c r="BM50" i="1"/>
  <c r="BL50" i="1"/>
  <c r="BK50" i="1"/>
  <c r="BJ50" i="1"/>
  <c r="BI50" i="1"/>
  <c r="BH50" i="1"/>
  <c r="BG50" i="1"/>
  <c r="BF50" i="1"/>
  <c r="BE50" i="1"/>
  <c r="BD50" i="1"/>
  <c r="BC50" i="1"/>
  <c r="BA50" i="1"/>
  <c r="AY50" i="1"/>
  <c r="AX50" i="1"/>
  <c r="AW50" i="1"/>
  <c r="AV50" i="1"/>
  <c r="AU50" i="1"/>
  <c r="AT50" i="1"/>
  <c r="AQ50" i="1"/>
  <c r="AP50" i="1"/>
  <c r="AO50" i="1"/>
  <c r="AN50" i="1"/>
  <c r="AM50" i="1"/>
  <c r="AL50" i="1"/>
  <c r="AK50" i="1"/>
  <c r="AJ50" i="1"/>
  <c r="AI50" i="1"/>
  <c r="AS48" i="1" l="1"/>
  <c r="AI48" i="1"/>
  <c r="BB48" i="1"/>
  <c r="AZ48" i="1"/>
  <c r="BO65" i="1"/>
  <c r="BN65" i="1"/>
  <c r="BM65" i="1"/>
  <c r="AK65" i="1"/>
  <c r="AJ65" i="1"/>
  <c r="AI65" i="1"/>
  <c r="AH65" i="1"/>
  <c r="AK66" i="1" l="1"/>
  <c r="AN65" i="1"/>
  <c r="AM65" i="1"/>
  <c r="BQ65" i="1" l="1"/>
  <c r="BR65" i="1"/>
  <c r="BS65" i="1"/>
  <c r="BT65" i="1"/>
  <c r="BU65" i="1"/>
  <c r="BV65" i="1"/>
  <c r="BW65" i="1"/>
  <c r="BX65" i="1"/>
  <c r="BY65" i="1"/>
  <c r="BZ65" i="1"/>
  <c r="CA65" i="1"/>
  <c r="BP65" i="1"/>
  <c r="BH65" i="1"/>
  <c r="BI65" i="1"/>
  <c r="BJ65" i="1"/>
  <c r="BK65" i="1"/>
  <c r="BL65" i="1"/>
  <c r="BG65" i="1"/>
  <c r="BE65" i="1"/>
  <c r="BF65" i="1"/>
  <c r="BD65" i="1"/>
  <c r="AV65" i="1"/>
  <c r="AW65" i="1"/>
  <c r="AX65" i="1"/>
  <c r="AY65" i="1"/>
  <c r="AZ65" i="1"/>
  <c r="BA65" i="1"/>
  <c r="BB65" i="1"/>
  <c r="BC65" i="1"/>
  <c r="AU65" i="1"/>
  <c r="AS65" i="1"/>
  <c r="AT65" i="1"/>
  <c r="AR65" i="1"/>
  <c r="AO65" i="1"/>
  <c r="AP65" i="1"/>
  <c r="AQ65" i="1"/>
  <c r="AL65" i="1"/>
  <c r="CK48" i="1"/>
  <c r="CJ48" i="1"/>
  <c r="CI48" i="1"/>
  <c r="CH48" i="1"/>
  <c r="CG48" i="1"/>
  <c r="CF48" i="1"/>
  <c r="CE48" i="1"/>
  <c r="CD48" i="1"/>
  <c r="CC48" i="1"/>
  <c r="CB48" i="1"/>
  <c r="CA48" i="1"/>
  <c r="BZ48" i="1"/>
  <c r="BY48" i="1"/>
  <c r="BX48" i="1"/>
  <c r="BW48" i="1"/>
  <c r="BV48" i="1"/>
  <c r="BU48" i="1"/>
  <c r="BT48" i="1"/>
  <c r="BS48" i="1"/>
  <c r="BR48" i="1"/>
  <c r="BQ48" i="1"/>
  <c r="BP48" i="1"/>
  <c r="BO48" i="1"/>
  <c r="BN48" i="1"/>
  <c r="BM48" i="1"/>
  <c r="BL48" i="1"/>
  <c r="BK48" i="1"/>
  <c r="BJ48" i="1"/>
  <c r="BI48" i="1"/>
  <c r="BH48" i="1"/>
  <c r="BG48" i="1"/>
  <c r="BF48" i="1"/>
  <c r="BE48" i="1"/>
  <c r="BD48" i="1"/>
  <c r="CA66" i="1" l="1"/>
  <c r="BL66" i="1"/>
  <c r="AT66" i="1"/>
  <c r="AQ66" i="1"/>
  <c r="BF66" i="1"/>
  <c r="BC66" i="1"/>
  <c r="BC48" i="1" l="1"/>
  <c r="BA48" i="1"/>
  <c r="AY48" i="1"/>
  <c r="AX48" i="1"/>
  <c r="AW48" i="1"/>
  <c r="AV48" i="1"/>
  <c r="AU48" i="1"/>
  <c r="AT48" i="1"/>
  <c r="AR54" i="1"/>
  <c r="AR56" i="1"/>
  <c r="AR53" i="1"/>
  <c r="AR52" i="1"/>
  <c r="AR51" i="1"/>
  <c r="AR50" i="1"/>
  <c r="AR48" i="1" l="1"/>
  <c r="AQ48" i="1"/>
  <c r="AP48" i="1"/>
  <c r="AO48" i="1"/>
  <c r="AN48" i="1"/>
  <c r="AM48" i="1"/>
  <c r="AL48" i="1"/>
  <c r="AK48" i="1"/>
  <c r="AJ48" i="1"/>
</calcChain>
</file>

<file path=xl/comments1.xml><?xml version="1.0" encoding="utf-8"?>
<comments xmlns="http://schemas.openxmlformats.org/spreadsheetml/2006/main">
  <authors>
    <author>y-okuda</author>
    <author>文部科学省</author>
  </authors>
  <commentList>
    <comment ref="E7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記入例：５人（中３）、２人（中１）</t>
        </r>
      </text>
    </comment>
    <comment ref="K7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ア素手で殴る・叩く
イ棒などで殴る・叩く
ウ蹴る・踏みつける
エ投げる・突き飛ばす・転倒させる
オつねる・ひっかく
カ物をぶつける・投げつける
キ長時間教室等に留め置く
ク長時間正座など一定の姿勢を保持させる
ケその他</t>
        </r>
      </text>
    </comment>
    <comment ref="L7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ア死亡
イ骨折・挫折など
ウ鼓膜損傷
エ外傷
オ打撲（頭）
カ打撲（顔）
キ打撲（足）
ク打撲（オ～キ以外）
ケ鼻血
コ髪を切られる
サその他
シ傷害なし</t>
        </r>
      </text>
    </comment>
    <comment ref="B10" authorId="1" shapeId="0">
      <text>
        <r>
          <rPr>
            <b/>
            <sz val="10"/>
            <color indexed="81"/>
            <rFont val="ＭＳ Ｐゴシック"/>
            <family val="3"/>
            <charset val="128"/>
          </rPr>
          <t>ア幼稚園
イ小学校
ウ中学校
エ義務教育学校
オ高等学校
カ中等教育学校
キ特別支援学校</t>
        </r>
      </text>
    </comment>
    <comment ref="C10" authorId="1" shapeId="0">
      <text>
        <r>
          <rPr>
            <b/>
            <sz val="10"/>
            <color indexed="81"/>
            <rFont val="ＭＳ Ｐゴシック"/>
            <family val="3"/>
            <charset val="128"/>
          </rPr>
          <t>ア２０歳代
イ３０歳代
ウ４０歳代
エ５０歳代
オ６０歳代以上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D10" authorId="1" shapeId="0">
      <text>
        <r>
          <rPr>
            <b/>
            <sz val="10"/>
            <color indexed="81"/>
            <rFont val="ＭＳ Ｐゴシック"/>
            <family val="3"/>
            <charset val="128"/>
          </rPr>
          <t>ア男性
イ女性</t>
        </r>
      </text>
    </comment>
    <comment ref="I10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ア授業中・保育中
イ放課後
ウ休み時間
エ部活動
オ学校行事
カホームルーム
キその他</t>
        </r>
      </text>
    </comment>
    <comment ref="J10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ア教室
イ職員室
ウ運動場・園庭、体育館・遊戯室
エ生徒指導室
オ廊下、階段
カその他</t>
        </r>
      </text>
    </comment>
  </commentList>
</comments>
</file>

<file path=xl/sharedStrings.xml><?xml version="1.0" encoding="utf-8"?>
<sst xmlns="http://schemas.openxmlformats.org/spreadsheetml/2006/main" count="276" uniqueCount="153">
  <si>
    <t>記入者名</t>
    <rPh sb="0" eb="3">
      <t>キニュウシャ</t>
    </rPh>
    <rPh sb="3" eb="4">
      <t>メイ</t>
    </rPh>
    <phoneticPr fontId="4"/>
  </si>
  <si>
    <t>e-mail</t>
    <phoneticPr fontId="4"/>
  </si>
  <si>
    <t>被害を受けた児童生徒人数</t>
    <rPh sb="0" eb="2">
      <t>ヒガイ</t>
    </rPh>
    <rPh sb="3" eb="4">
      <t>ウ</t>
    </rPh>
    <rPh sb="6" eb="8">
      <t>ジドウ</t>
    </rPh>
    <rPh sb="8" eb="10">
      <t>セイト</t>
    </rPh>
    <rPh sb="10" eb="12">
      <t>ニンズウ</t>
    </rPh>
    <phoneticPr fontId="4"/>
  </si>
  <si>
    <t>体罰時の状況</t>
    <rPh sb="0" eb="2">
      <t>タイバツ</t>
    </rPh>
    <rPh sb="2" eb="3">
      <t>ジ</t>
    </rPh>
    <rPh sb="4" eb="6">
      <t>ジョウキョウ</t>
    </rPh>
    <phoneticPr fontId="4"/>
  </si>
  <si>
    <t>体罰事案の把握のきっかけ</t>
    <rPh sb="0" eb="2">
      <t>タイバツ</t>
    </rPh>
    <rPh sb="2" eb="4">
      <t>ジアン</t>
    </rPh>
    <rPh sb="5" eb="7">
      <t>ハアク</t>
    </rPh>
    <phoneticPr fontId="4"/>
  </si>
  <si>
    <t>事実関係の把握の手法</t>
    <rPh sb="0" eb="2">
      <t>ジジツ</t>
    </rPh>
    <rPh sb="2" eb="4">
      <t>カンケイ</t>
    </rPh>
    <rPh sb="5" eb="7">
      <t>ハアク</t>
    </rPh>
    <rPh sb="8" eb="10">
      <t>シュホウ</t>
    </rPh>
    <phoneticPr fontId="4"/>
  </si>
  <si>
    <t>学校種</t>
    <rPh sb="0" eb="2">
      <t>ガッコウ</t>
    </rPh>
    <rPh sb="2" eb="3">
      <t>シュ</t>
    </rPh>
    <phoneticPr fontId="4"/>
  </si>
  <si>
    <t>年代</t>
    <rPh sb="0" eb="2">
      <t>ネンダイ</t>
    </rPh>
    <phoneticPr fontId="4"/>
  </si>
  <si>
    <t>性別</t>
    <rPh sb="0" eb="2">
      <t>セイベツ</t>
    </rPh>
    <phoneticPr fontId="4"/>
  </si>
  <si>
    <t>小学校</t>
    <rPh sb="0" eb="3">
      <t>ショウガッコウ</t>
    </rPh>
    <phoneticPr fontId="4"/>
  </si>
  <si>
    <t>中学校</t>
    <rPh sb="0" eb="3">
      <t>チュウガッコウ</t>
    </rPh>
    <phoneticPr fontId="4"/>
  </si>
  <si>
    <t>高等学校</t>
    <rPh sb="0" eb="2">
      <t>コウトウ</t>
    </rPh>
    <rPh sb="2" eb="4">
      <t>ガッコウ</t>
    </rPh>
    <phoneticPr fontId="4"/>
  </si>
  <si>
    <t>中等教育学校</t>
    <rPh sb="0" eb="2">
      <t>チュウトウ</t>
    </rPh>
    <rPh sb="2" eb="4">
      <t>キョウイク</t>
    </rPh>
    <rPh sb="4" eb="6">
      <t>ガッコウ</t>
    </rPh>
    <phoneticPr fontId="4"/>
  </si>
  <si>
    <t>特別支援学校</t>
    <rPh sb="0" eb="2">
      <t>トクベツ</t>
    </rPh>
    <rPh sb="2" eb="4">
      <t>シエン</t>
    </rPh>
    <rPh sb="4" eb="6">
      <t>ガッコウ</t>
    </rPh>
    <phoneticPr fontId="4"/>
  </si>
  <si>
    <t>イ保護者の訴え</t>
    <rPh sb="1" eb="4">
      <t>ホゴシャ</t>
    </rPh>
    <rPh sb="5" eb="6">
      <t>ウッタ</t>
    </rPh>
    <phoneticPr fontId="4"/>
  </si>
  <si>
    <t>ウ教員の申告</t>
    <rPh sb="1" eb="3">
      <t>キョウイン</t>
    </rPh>
    <rPh sb="4" eb="6">
      <t>シンコク</t>
    </rPh>
    <phoneticPr fontId="4"/>
  </si>
  <si>
    <t>エ第三者の通報</t>
    <rPh sb="1" eb="4">
      <t>ダイサンシャ</t>
    </rPh>
    <rPh sb="5" eb="7">
      <t>ツウホウ</t>
    </rPh>
    <phoneticPr fontId="4"/>
  </si>
  <si>
    <t>オその他</t>
    <rPh sb="3" eb="4">
      <t>タ</t>
    </rPh>
    <phoneticPr fontId="4"/>
  </si>
  <si>
    <t>ア当事者教員</t>
    <rPh sb="1" eb="4">
      <t>トウジシャ</t>
    </rPh>
    <rPh sb="4" eb="6">
      <t>キョウイン</t>
    </rPh>
    <phoneticPr fontId="4"/>
  </si>
  <si>
    <t>イその他教員</t>
    <rPh sb="3" eb="4">
      <t>タ</t>
    </rPh>
    <rPh sb="4" eb="6">
      <t>キョウイン</t>
    </rPh>
    <phoneticPr fontId="4"/>
  </si>
  <si>
    <t>オ保護者</t>
    <rPh sb="1" eb="4">
      <t>ホゴシャ</t>
    </rPh>
    <phoneticPr fontId="4"/>
  </si>
  <si>
    <t>カその他（第三者）</t>
    <rPh sb="3" eb="4">
      <t>タ</t>
    </rPh>
    <rPh sb="5" eb="8">
      <t>ダイサンシャ</t>
    </rPh>
    <phoneticPr fontId="4"/>
  </si>
  <si>
    <t>前期</t>
    <rPh sb="0" eb="2">
      <t>ゼンキ</t>
    </rPh>
    <phoneticPr fontId="4"/>
  </si>
  <si>
    <t>後期</t>
    <rPh sb="0" eb="2">
      <t>コウキ</t>
    </rPh>
    <phoneticPr fontId="4"/>
  </si>
  <si>
    <t>小学部</t>
    <rPh sb="0" eb="2">
      <t>ショウガク</t>
    </rPh>
    <rPh sb="2" eb="3">
      <t>ブ</t>
    </rPh>
    <phoneticPr fontId="4"/>
  </si>
  <si>
    <t>中学部</t>
    <rPh sb="0" eb="3">
      <t>チュウガクブ</t>
    </rPh>
    <phoneticPr fontId="4"/>
  </si>
  <si>
    <t>高等部</t>
    <rPh sb="0" eb="2">
      <t>コウトウ</t>
    </rPh>
    <rPh sb="2" eb="3">
      <t>ブ</t>
    </rPh>
    <phoneticPr fontId="4"/>
  </si>
  <si>
    <t>整理
番号</t>
    <rPh sb="0" eb="2">
      <t>セイリ</t>
    </rPh>
    <rPh sb="3" eb="5">
      <t>バンゴウ</t>
    </rPh>
    <phoneticPr fontId="4"/>
  </si>
  <si>
    <t>当事者
の学校種等</t>
    <rPh sb="0" eb="3">
      <t>トウジシャ</t>
    </rPh>
    <rPh sb="5" eb="7">
      <t>ガッコウ</t>
    </rPh>
    <rPh sb="7" eb="8">
      <t>シュ</t>
    </rPh>
    <rPh sb="8" eb="9">
      <t>トウ</t>
    </rPh>
    <phoneticPr fontId="4"/>
  </si>
  <si>
    <t>[場面]</t>
    <rPh sb="1" eb="3">
      <t>バメン</t>
    </rPh>
    <phoneticPr fontId="4"/>
  </si>
  <si>
    <t>[場所]</t>
    <rPh sb="1" eb="3">
      <t>バショ</t>
    </rPh>
    <phoneticPr fontId="4"/>
  </si>
  <si>
    <t>体罰時の状況</t>
    <phoneticPr fontId="4"/>
  </si>
  <si>
    <t>体罰の態様</t>
    <phoneticPr fontId="4"/>
  </si>
  <si>
    <t>被害の状況</t>
    <phoneticPr fontId="4"/>
  </si>
  <si>
    <t>小</t>
    <rPh sb="0" eb="1">
      <t>ショウ</t>
    </rPh>
    <phoneticPr fontId="4"/>
  </si>
  <si>
    <t>中</t>
    <rPh sb="0" eb="1">
      <t>チュウ</t>
    </rPh>
    <phoneticPr fontId="4"/>
  </si>
  <si>
    <t>義務</t>
    <rPh sb="0" eb="2">
      <t>ギム</t>
    </rPh>
    <phoneticPr fontId="4"/>
  </si>
  <si>
    <t>高</t>
    <rPh sb="0" eb="1">
      <t>コウ</t>
    </rPh>
    <phoneticPr fontId="4"/>
  </si>
  <si>
    <t>中等</t>
    <rPh sb="0" eb="2">
      <t>チュウトウ</t>
    </rPh>
    <phoneticPr fontId="4"/>
  </si>
  <si>
    <t>特</t>
    <rPh sb="0" eb="1">
      <t>トク</t>
    </rPh>
    <phoneticPr fontId="4"/>
  </si>
  <si>
    <t>当事者の年代</t>
    <rPh sb="0" eb="3">
      <t>トウジシャ</t>
    </rPh>
    <rPh sb="4" eb="6">
      <t>ネンダイ</t>
    </rPh>
    <phoneticPr fontId="4"/>
  </si>
  <si>
    <t>当事者の性別</t>
    <rPh sb="0" eb="3">
      <t>トウジシャ</t>
    </rPh>
    <rPh sb="4" eb="6">
      <t>セイベツ</t>
    </rPh>
    <phoneticPr fontId="4"/>
  </si>
  <si>
    <t>場面</t>
    <phoneticPr fontId="4"/>
  </si>
  <si>
    <t>場所</t>
    <phoneticPr fontId="4"/>
  </si>
  <si>
    <t>ア</t>
    <phoneticPr fontId="4"/>
  </si>
  <si>
    <t>イ</t>
    <phoneticPr fontId="4"/>
  </si>
  <si>
    <t>ウ</t>
    <phoneticPr fontId="4"/>
  </si>
  <si>
    <t>エ</t>
    <phoneticPr fontId="4"/>
  </si>
  <si>
    <t>オ</t>
    <phoneticPr fontId="4"/>
  </si>
  <si>
    <t>カ</t>
    <phoneticPr fontId="4"/>
  </si>
  <si>
    <t>キ</t>
    <phoneticPr fontId="4"/>
  </si>
  <si>
    <t>ク</t>
    <phoneticPr fontId="4"/>
  </si>
  <si>
    <t>ケ</t>
    <phoneticPr fontId="4"/>
  </si>
  <si>
    <t>コ</t>
    <phoneticPr fontId="4"/>
  </si>
  <si>
    <t>サ</t>
    <phoneticPr fontId="4"/>
  </si>
  <si>
    <t>シ</t>
    <phoneticPr fontId="4"/>
  </si>
  <si>
    <t>合計</t>
    <rPh sb="0" eb="2">
      <t>ゴウケイ</t>
    </rPh>
    <phoneticPr fontId="4"/>
  </si>
  <si>
    <t>うち通</t>
    <rPh sb="2" eb="3">
      <t>ツウ</t>
    </rPh>
    <phoneticPr fontId="4"/>
  </si>
  <si>
    <t>発生
学校数</t>
    <rPh sb="0" eb="2">
      <t>ハッセイ</t>
    </rPh>
    <rPh sb="3" eb="5">
      <t>ガッコウ</t>
    </rPh>
    <rPh sb="5" eb="6">
      <t>スウ</t>
    </rPh>
    <phoneticPr fontId="4"/>
  </si>
  <si>
    <t>発生
件数</t>
    <rPh sb="0" eb="2">
      <t>ハッセイ</t>
    </rPh>
    <rPh sb="3" eb="5">
      <t>ケンスウ</t>
    </rPh>
    <phoneticPr fontId="4"/>
  </si>
  <si>
    <t>被害
児童
生徒数</t>
    <rPh sb="0" eb="2">
      <t>ヒガイ</t>
    </rPh>
    <rPh sb="3" eb="5">
      <t>ジドウ</t>
    </rPh>
    <rPh sb="6" eb="8">
      <t>セイト</t>
    </rPh>
    <rPh sb="8" eb="9">
      <t>スウ</t>
    </rPh>
    <phoneticPr fontId="4"/>
  </si>
  <si>
    <t>20代</t>
    <rPh sb="2" eb="3">
      <t>ダイ</t>
    </rPh>
    <phoneticPr fontId="4"/>
  </si>
  <si>
    <t>30代</t>
    <rPh sb="2" eb="3">
      <t>ダイ</t>
    </rPh>
    <phoneticPr fontId="4"/>
  </si>
  <si>
    <t>40代</t>
    <rPh sb="2" eb="3">
      <t>ダイ</t>
    </rPh>
    <phoneticPr fontId="4"/>
  </si>
  <si>
    <t>50代</t>
    <rPh sb="2" eb="3">
      <t>ダイ</t>
    </rPh>
    <phoneticPr fontId="4"/>
  </si>
  <si>
    <t>60代以上</t>
    <rPh sb="2" eb="3">
      <t>ダイ</t>
    </rPh>
    <rPh sb="3" eb="5">
      <t>イジョウ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</si>
  <si>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</si>
  <si>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</si>
  <si>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t>授業</t>
    <rPh sb="0" eb="2">
      <t>ジュギョウ</t>
    </rPh>
    <phoneticPr fontId="4"/>
  </si>
  <si>
    <t>放課後</t>
    <rPh sb="0" eb="3">
      <t>ホウカゴ</t>
    </rPh>
    <phoneticPr fontId="4"/>
  </si>
  <si>
    <t>休み時間</t>
    <rPh sb="0" eb="1">
      <t>ヤス</t>
    </rPh>
    <rPh sb="2" eb="4">
      <t>ジカン</t>
    </rPh>
    <phoneticPr fontId="4"/>
  </si>
  <si>
    <t>部活</t>
    <rPh sb="0" eb="2">
      <t>ブカツ</t>
    </rPh>
    <phoneticPr fontId="4"/>
  </si>
  <si>
    <t>行事</t>
    <rPh sb="0" eb="2">
      <t>ギョウジ</t>
    </rPh>
    <phoneticPr fontId="4"/>
  </si>
  <si>
    <t>ＨＲ</t>
    <phoneticPr fontId="4"/>
  </si>
  <si>
    <t>その他</t>
    <rPh sb="2" eb="3">
      <t>タ</t>
    </rPh>
    <phoneticPr fontId="4"/>
  </si>
  <si>
    <t>教室</t>
    <rPh sb="0" eb="2">
      <t>キョウシツ</t>
    </rPh>
    <phoneticPr fontId="4"/>
  </si>
  <si>
    <t>職員室</t>
    <rPh sb="0" eb="3">
      <t>ショクインシツ</t>
    </rPh>
    <phoneticPr fontId="4"/>
  </si>
  <si>
    <t>運動場</t>
    <rPh sb="0" eb="3">
      <t>ウンドウジョウ</t>
    </rPh>
    <phoneticPr fontId="4"/>
  </si>
  <si>
    <t>生指室</t>
    <rPh sb="0" eb="1">
      <t>セイ</t>
    </rPh>
    <rPh sb="1" eb="2">
      <t>ユビ</t>
    </rPh>
    <rPh sb="2" eb="3">
      <t>シツ</t>
    </rPh>
    <phoneticPr fontId="4"/>
  </si>
  <si>
    <t>廊下</t>
    <rPh sb="0" eb="2">
      <t>ロウカ</t>
    </rPh>
    <phoneticPr fontId="4"/>
  </si>
  <si>
    <t>素手</t>
    <rPh sb="0" eb="2">
      <t>スデ</t>
    </rPh>
    <phoneticPr fontId="4"/>
  </si>
  <si>
    <t>棒</t>
    <rPh sb="0" eb="1">
      <t>ボウ</t>
    </rPh>
    <phoneticPr fontId="4"/>
  </si>
  <si>
    <t>蹴る</t>
    <rPh sb="0" eb="1">
      <t>ケ</t>
    </rPh>
    <phoneticPr fontId="4"/>
  </si>
  <si>
    <t>投げる</t>
    <rPh sb="0" eb="1">
      <t>ナ</t>
    </rPh>
    <phoneticPr fontId="4"/>
  </si>
  <si>
    <t>つねる</t>
    <phoneticPr fontId="4"/>
  </si>
  <si>
    <t>物</t>
    <rPh sb="0" eb="1">
      <t>モノ</t>
    </rPh>
    <phoneticPr fontId="4"/>
  </si>
  <si>
    <t>長教室</t>
    <rPh sb="0" eb="1">
      <t>チョウ</t>
    </rPh>
    <rPh sb="1" eb="3">
      <t>キョウシツ</t>
    </rPh>
    <phoneticPr fontId="4"/>
  </si>
  <si>
    <t>長正座</t>
    <rPh sb="0" eb="1">
      <t>ナガ</t>
    </rPh>
    <rPh sb="1" eb="3">
      <t>セイザ</t>
    </rPh>
    <phoneticPr fontId="4"/>
  </si>
  <si>
    <t>死亡</t>
    <rPh sb="0" eb="2">
      <t>シボウ</t>
    </rPh>
    <phoneticPr fontId="4"/>
  </si>
  <si>
    <t>骨折</t>
    <rPh sb="0" eb="2">
      <t>コッセツ</t>
    </rPh>
    <phoneticPr fontId="4"/>
  </si>
  <si>
    <t>鼓膜損傷</t>
    <rPh sb="0" eb="2">
      <t>コマク</t>
    </rPh>
    <rPh sb="2" eb="4">
      <t>ソンショウ</t>
    </rPh>
    <phoneticPr fontId="4"/>
  </si>
  <si>
    <t>外傷</t>
    <rPh sb="0" eb="2">
      <t>ガイショウ</t>
    </rPh>
    <phoneticPr fontId="4"/>
  </si>
  <si>
    <t>打撲頭</t>
    <rPh sb="0" eb="2">
      <t>ダボク</t>
    </rPh>
    <rPh sb="2" eb="3">
      <t>アタマ</t>
    </rPh>
    <phoneticPr fontId="4"/>
  </si>
  <si>
    <t>打撲顔</t>
    <rPh sb="0" eb="2">
      <t>ダボク</t>
    </rPh>
    <rPh sb="2" eb="3">
      <t>カオ</t>
    </rPh>
    <phoneticPr fontId="4"/>
  </si>
  <si>
    <t>打撲足</t>
    <rPh sb="0" eb="2">
      <t>ダボク</t>
    </rPh>
    <rPh sb="2" eb="3">
      <t>アシ</t>
    </rPh>
    <phoneticPr fontId="4"/>
  </si>
  <si>
    <t>打撲他</t>
    <rPh sb="0" eb="2">
      <t>ダボク</t>
    </rPh>
    <rPh sb="2" eb="3">
      <t>ホカ</t>
    </rPh>
    <phoneticPr fontId="4"/>
  </si>
  <si>
    <t>鼻血</t>
    <rPh sb="0" eb="2">
      <t>ハナヂ</t>
    </rPh>
    <phoneticPr fontId="4"/>
  </si>
  <si>
    <t>髪切</t>
    <rPh sb="0" eb="1">
      <t>カミ</t>
    </rPh>
    <rPh sb="1" eb="2">
      <t>キ</t>
    </rPh>
    <phoneticPr fontId="4"/>
  </si>
  <si>
    <t>なし</t>
    <phoneticPr fontId="4"/>
  </si>
  <si>
    <t>児童</t>
    <rPh sb="0" eb="2">
      <t>ジドウ</t>
    </rPh>
    <phoneticPr fontId="4"/>
  </si>
  <si>
    <t>保護者</t>
    <rPh sb="0" eb="3">
      <t>ホゴシャ</t>
    </rPh>
    <phoneticPr fontId="4"/>
  </si>
  <si>
    <t>教員</t>
    <rPh sb="0" eb="2">
      <t>キョウイン</t>
    </rPh>
    <phoneticPr fontId="4"/>
  </si>
  <si>
    <t>第三者</t>
    <rPh sb="0" eb="3">
      <t>ダイサンシャ</t>
    </rPh>
    <phoneticPr fontId="4"/>
  </si>
  <si>
    <t>当事者</t>
    <rPh sb="0" eb="3">
      <t>トウジシャ</t>
    </rPh>
    <phoneticPr fontId="4"/>
  </si>
  <si>
    <t>他教員</t>
    <rPh sb="0" eb="1">
      <t>タ</t>
    </rPh>
    <rPh sb="1" eb="3">
      <t>キョウイン</t>
    </rPh>
    <phoneticPr fontId="4"/>
  </si>
  <si>
    <t>被害児童</t>
    <rPh sb="0" eb="2">
      <t>ヒガイ</t>
    </rPh>
    <rPh sb="2" eb="4">
      <t>ジドウ</t>
    </rPh>
    <phoneticPr fontId="4"/>
  </si>
  <si>
    <t>他児童</t>
    <rPh sb="0" eb="1">
      <t>ホカ</t>
    </rPh>
    <rPh sb="1" eb="3">
      <t>ジドウ</t>
    </rPh>
    <phoneticPr fontId="4"/>
  </si>
  <si>
    <t>義務教育学校</t>
    <rPh sb="0" eb="2">
      <t>ギム</t>
    </rPh>
    <rPh sb="2" eb="4">
      <t>キョウイク</t>
    </rPh>
    <rPh sb="4" eb="6">
      <t>ガッコウ</t>
    </rPh>
    <phoneticPr fontId="10"/>
  </si>
  <si>
    <t>1年</t>
    <rPh sb="1" eb="2">
      <t>ネン</t>
    </rPh>
    <phoneticPr fontId="4"/>
  </si>
  <si>
    <t>2年</t>
    <rPh sb="1" eb="2">
      <t>ネン</t>
    </rPh>
    <phoneticPr fontId="4"/>
  </si>
  <si>
    <t>3年</t>
    <rPh sb="1" eb="2">
      <t>ネン</t>
    </rPh>
    <phoneticPr fontId="4"/>
  </si>
  <si>
    <t>1年生</t>
    <rPh sb="1" eb="2">
      <t>ネン</t>
    </rPh>
    <rPh sb="2" eb="3">
      <t>セイ</t>
    </rPh>
    <phoneticPr fontId="4"/>
  </si>
  <si>
    <t>2年生</t>
    <rPh sb="1" eb="2">
      <t>ネン</t>
    </rPh>
    <rPh sb="2" eb="3">
      <t>セイ</t>
    </rPh>
    <phoneticPr fontId="4"/>
  </si>
  <si>
    <t>3年生</t>
    <rPh sb="1" eb="2">
      <t>ネン</t>
    </rPh>
    <rPh sb="2" eb="3">
      <t>セイ</t>
    </rPh>
    <phoneticPr fontId="4"/>
  </si>
  <si>
    <t>4年生</t>
    <rPh sb="1" eb="2">
      <t>ネン</t>
    </rPh>
    <rPh sb="2" eb="3">
      <t>セイ</t>
    </rPh>
    <phoneticPr fontId="4"/>
  </si>
  <si>
    <t>5年生</t>
    <rPh sb="1" eb="2">
      <t>ネン</t>
    </rPh>
    <rPh sb="2" eb="3">
      <t>セイ</t>
    </rPh>
    <phoneticPr fontId="4"/>
  </si>
  <si>
    <t>6年生</t>
    <rPh sb="1" eb="2">
      <t>ネン</t>
    </rPh>
    <rPh sb="2" eb="3">
      <t>セイ</t>
    </rPh>
    <phoneticPr fontId="4"/>
  </si>
  <si>
    <t>7年生</t>
    <rPh sb="1" eb="2">
      <t>ネン</t>
    </rPh>
    <rPh sb="2" eb="3">
      <t>セイ</t>
    </rPh>
    <phoneticPr fontId="4"/>
  </si>
  <si>
    <t>8年生</t>
    <rPh sb="1" eb="2">
      <t>ネン</t>
    </rPh>
    <rPh sb="2" eb="3">
      <t>セイ</t>
    </rPh>
    <phoneticPr fontId="4"/>
  </si>
  <si>
    <t>9年生</t>
    <rPh sb="1" eb="2">
      <t>ネン</t>
    </rPh>
    <rPh sb="2" eb="3">
      <t>セイ</t>
    </rPh>
    <phoneticPr fontId="4"/>
  </si>
  <si>
    <t>集計表</t>
    <rPh sb="0" eb="3">
      <t>シュウケイヒョウ</t>
    </rPh>
    <phoneticPr fontId="4"/>
  </si>
  <si>
    <t>３歳児</t>
    <rPh sb="1" eb="3">
      <t>サイジ</t>
    </rPh>
    <phoneticPr fontId="4"/>
  </si>
  <si>
    <t>４歳児</t>
    <rPh sb="1" eb="3">
      <t>サイジ</t>
    </rPh>
    <phoneticPr fontId="4"/>
  </si>
  <si>
    <t>５歳児</t>
    <rPh sb="1" eb="3">
      <t>サイジ</t>
    </rPh>
    <phoneticPr fontId="4"/>
  </si>
  <si>
    <t>０～２歳児</t>
    <rPh sb="3" eb="5">
      <t>サイジ</t>
    </rPh>
    <phoneticPr fontId="4"/>
  </si>
  <si>
    <t>幼稚部</t>
    <rPh sb="0" eb="3">
      <t>ヨウチブ</t>
    </rPh>
    <phoneticPr fontId="4"/>
  </si>
  <si>
    <t>幼</t>
    <rPh sb="0" eb="1">
      <t>ヨウ</t>
    </rPh>
    <phoneticPr fontId="4"/>
  </si>
  <si>
    <t>幼稚園</t>
    <rPh sb="0" eb="3">
      <t>ヨウチエン</t>
    </rPh>
    <phoneticPr fontId="4"/>
  </si>
  <si>
    <t>ア児童生徒等の訴え</t>
    <rPh sb="1" eb="3">
      <t>ジドウ</t>
    </rPh>
    <rPh sb="3" eb="5">
      <t>セイト</t>
    </rPh>
    <rPh sb="5" eb="6">
      <t>ナド</t>
    </rPh>
    <rPh sb="7" eb="8">
      <t>ウッタ</t>
    </rPh>
    <phoneticPr fontId="4"/>
  </si>
  <si>
    <t>ウ被害児童生徒等</t>
    <rPh sb="1" eb="3">
      <t>ヒガイ</t>
    </rPh>
    <rPh sb="3" eb="5">
      <t>ジドウ</t>
    </rPh>
    <rPh sb="5" eb="7">
      <t>セイト</t>
    </rPh>
    <rPh sb="7" eb="8">
      <t>ナド</t>
    </rPh>
    <phoneticPr fontId="4"/>
  </si>
  <si>
    <t>エその他児童生徒等</t>
    <rPh sb="3" eb="4">
      <t>タ</t>
    </rPh>
    <rPh sb="4" eb="6">
      <t>ジドウ</t>
    </rPh>
    <rPh sb="6" eb="8">
      <t>セイト</t>
    </rPh>
    <rPh sb="8" eb="9">
      <t>ナド</t>
    </rPh>
    <phoneticPr fontId="4"/>
  </si>
  <si>
    <t>被害を受けた児童生徒等人数</t>
    <rPh sb="10" eb="11">
      <t>ナド</t>
    </rPh>
    <phoneticPr fontId="4"/>
  </si>
  <si>
    <t>整理番号</t>
    <rPh sb="0" eb="2">
      <t>セイリ</t>
    </rPh>
    <rPh sb="2" eb="4">
      <t>バンゴウ</t>
    </rPh>
    <phoneticPr fontId="4"/>
  </si>
  <si>
    <t>【 様式１：体罰の状況】</t>
    <rPh sb="2" eb="4">
      <t>ヨウシキ</t>
    </rPh>
    <rPh sb="6" eb="8">
      <t>タイバツ</t>
    </rPh>
    <rPh sb="9" eb="11">
      <t>ジョウキョウ</t>
    </rPh>
    <phoneticPr fontId="4"/>
  </si>
  <si>
    <t>被処分者について</t>
    <rPh sb="0" eb="1">
      <t>ヒ</t>
    </rPh>
    <rPh sb="1" eb="4">
      <t>ショブンシャ</t>
    </rPh>
    <phoneticPr fontId="4"/>
  </si>
  <si>
    <t>役職</t>
    <rPh sb="0" eb="2">
      <t>ヤクショク</t>
    </rPh>
    <phoneticPr fontId="4"/>
  </si>
  <si>
    <t>校種</t>
    <rPh sb="0" eb="2">
      <t>コウシュ</t>
    </rPh>
    <phoneticPr fontId="4"/>
  </si>
  <si>
    <t>処分等の内容について</t>
    <rPh sb="0" eb="2">
      <t>ショブン</t>
    </rPh>
    <rPh sb="2" eb="3">
      <t>ナド</t>
    </rPh>
    <rPh sb="4" eb="6">
      <t>ナイヨウ</t>
    </rPh>
    <phoneticPr fontId="4"/>
  </si>
  <si>
    <t>当事者責任又は監督者責任の別</t>
    <rPh sb="0" eb="3">
      <t>トウジシャ</t>
    </rPh>
    <rPh sb="3" eb="5">
      <t>セキニン</t>
    </rPh>
    <rPh sb="5" eb="6">
      <t>マタ</t>
    </rPh>
    <rPh sb="7" eb="10">
      <t>カントクシャ</t>
    </rPh>
    <rPh sb="10" eb="12">
      <t>セキニン</t>
    </rPh>
    <rPh sb="13" eb="14">
      <t>ベツ</t>
    </rPh>
    <phoneticPr fontId="4"/>
  </si>
  <si>
    <t>処分等の内容</t>
    <rPh sb="0" eb="3">
      <t>ショブントウ</t>
    </rPh>
    <rPh sb="4" eb="6">
      <t>ナイヨウ</t>
    </rPh>
    <phoneticPr fontId="4"/>
  </si>
  <si>
    <t>【様式２：体罰以外の不適切な言動又は指導の状況】</t>
    <rPh sb="1" eb="3">
      <t>ヨウシキ</t>
    </rPh>
    <rPh sb="5" eb="7">
      <t>タイバツ</t>
    </rPh>
    <rPh sb="7" eb="9">
      <t>イガイ</t>
    </rPh>
    <rPh sb="10" eb="13">
      <t>フテキセツ</t>
    </rPh>
    <rPh sb="14" eb="17">
      <t>ゲンドウマタ</t>
    </rPh>
    <rPh sb="18" eb="20">
      <t>シドウ</t>
    </rPh>
    <rPh sb="21" eb="23">
      <t>ジョウキョウ</t>
    </rPh>
    <phoneticPr fontId="4"/>
  </si>
  <si>
    <t>処分等の理由となる体罰以外の不適切な言動又は指導の概要</t>
    <rPh sb="0" eb="3">
      <t>ショブントウ</t>
    </rPh>
    <rPh sb="4" eb="6">
      <t>リユウ</t>
    </rPh>
    <rPh sb="9" eb="13">
      <t>タイバツイガイ</t>
    </rPh>
    <rPh sb="14" eb="17">
      <t>フテキセツ</t>
    </rPh>
    <rPh sb="18" eb="21">
      <t>ゲンドウマタ</t>
    </rPh>
    <rPh sb="22" eb="24">
      <t>シドウ</t>
    </rPh>
    <rPh sb="25" eb="27">
      <t>ガイヨウ</t>
    </rPh>
    <phoneticPr fontId="4"/>
  </si>
  <si>
    <t>０～２
歳児</t>
    <rPh sb="4" eb="6">
      <t>サイジ</t>
    </rPh>
    <phoneticPr fontId="4"/>
  </si>
  <si>
    <t>幼稚園
※満3歳児は3歳児としてお答えください。</t>
    <rPh sb="0" eb="3">
      <t>ヨウチエン</t>
    </rPh>
    <rPh sb="5" eb="6">
      <t>マン</t>
    </rPh>
    <rPh sb="7" eb="9">
      <t>サイジ</t>
    </rPh>
    <rPh sb="11" eb="13">
      <t>サイジ</t>
    </rPh>
    <rPh sb="17" eb="18">
      <t>コタ</t>
    </rPh>
    <phoneticPr fontId="4"/>
  </si>
  <si>
    <t>ア 幼稚園</t>
  </si>
  <si>
    <t>体罰の
態様</t>
    <rPh sb="0" eb="2">
      <t>タイバツ</t>
    </rPh>
    <rPh sb="4" eb="6">
      <t>タイヨウ</t>
    </rPh>
    <phoneticPr fontId="4"/>
  </si>
  <si>
    <t>体罰事案の
把握のきっかけ</t>
    <rPh sb="0" eb="2">
      <t>タイバツ</t>
    </rPh>
    <rPh sb="2" eb="4">
      <t>ジアン</t>
    </rPh>
    <rPh sb="6" eb="8">
      <t>ハアク</t>
    </rPh>
    <phoneticPr fontId="4"/>
  </si>
  <si>
    <t>幼稚園番号</t>
    <rPh sb="0" eb="5">
      <t>ヨウチエンバンゴウ</t>
    </rPh>
    <phoneticPr fontId="4"/>
  </si>
  <si>
    <t>幼稚園名</t>
    <rPh sb="0" eb="4">
      <t>ヨウチエンメイ</t>
    </rPh>
    <phoneticPr fontId="4"/>
  </si>
  <si>
    <t>幼稚園</t>
  </si>
  <si>
    <t>被害の
状況</t>
    <rPh sb="0" eb="2">
      <t>ヒガイ</t>
    </rPh>
    <rPh sb="4" eb="6">
      <t>ジョウキョウ</t>
    </rPh>
    <phoneticPr fontId="4"/>
  </si>
  <si>
    <t>体罰により教職員の処分を行った場合は様式１、その他不適切保育が理由で処分を行った場合は様式２にご記入ください。</t>
    <rPh sb="0" eb="2">
      <t>タイバツ</t>
    </rPh>
    <rPh sb="5" eb="8">
      <t>キョウショクイン</t>
    </rPh>
    <rPh sb="9" eb="11">
      <t>ショブン</t>
    </rPh>
    <rPh sb="12" eb="13">
      <t>オコナ</t>
    </rPh>
    <rPh sb="15" eb="17">
      <t>バアイ</t>
    </rPh>
    <rPh sb="18" eb="20">
      <t>ヨウシキ</t>
    </rPh>
    <rPh sb="24" eb="25">
      <t>タ</t>
    </rPh>
    <rPh sb="25" eb="30">
      <t>フテキセツホイク</t>
    </rPh>
    <rPh sb="31" eb="33">
      <t>リユウ</t>
    </rPh>
    <rPh sb="34" eb="36">
      <t>ショブン</t>
    </rPh>
    <rPh sb="37" eb="38">
      <t>オコナ</t>
    </rPh>
    <rPh sb="40" eb="42">
      <t>バアイ</t>
    </rPh>
    <rPh sb="43" eb="45">
      <t>ヨウシキ</t>
    </rPh>
    <rPh sb="48" eb="50">
      <t>キニュウ</t>
    </rPh>
    <phoneticPr fontId="4"/>
  </si>
  <si>
    <t>電話番号</t>
    <rPh sb="0" eb="4">
      <t>デンワバンゴウ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</si>
</sst>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2"/>
      <color indexed="81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b/>
      <sz val="12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5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25"/>
      <color rgb="FFFF0000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27">
    <xf numFmtId="0" fontId="0" fillId="0" borderId="0" xfId="0">
      <alignment vertical="center"/>
    </xf>
    <xf numFmtId="0" fontId="6" fillId="0" borderId="0" xfId="0" applyFont="1">
      <alignment vertical="center"/>
    </xf>
    <xf numFmtId="0" fontId="12" fillId="0" borderId="33" xfId="0" applyFont="1" applyBorder="1">
      <alignment vertical="center"/>
    </xf>
    <xf numFmtId="0" fontId="13" fillId="2" borderId="60" xfId="0" applyFont="1" applyFill="1" applyBorder="1" applyAlignment="1" applyProtection="1">
      <alignment horizontal="center" vertical="center" shrinkToFit="1"/>
      <protection locked="0"/>
    </xf>
    <xf numFmtId="0" fontId="9" fillId="2" borderId="59" xfId="0" applyFont="1" applyFill="1" applyBorder="1" applyAlignment="1" applyProtection="1">
      <alignment horizontal="center" vertical="center" shrinkToFit="1"/>
      <protection locked="0"/>
    </xf>
    <xf numFmtId="0" fontId="13" fillId="2" borderId="62" xfId="0" applyFont="1" applyFill="1" applyBorder="1" applyAlignment="1" applyProtection="1">
      <alignment horizontal="center" vertical="center" shrinkToFit="1"/>
      <protection locked="0"/>
    </xf>
    <xf numFmtId="0" fontId="9" fillId="2" borderId="63" xfId="0" applyFont="1" applyFill="1" applyBorder="1" applyAlignment="1" applyProtection="1">
      <alignment horizontal="center" vertical="center" shrinkToFit="1"/>
      <protection locked="0"/>
    </xf>
    <xf numFmtId="0" fontId="13" fillId="2" borderId="67" xfId="0" applyFont="1" applyFill="1" applyBorder="1" applyAlignment="1" applyProtection="1">
      <alignment horizontal="center" vertical="center" shrinkToFit="1"/>
      <protection locked="0"/>
    </xf>
    <xf numFmtId="0" fontId="9" fillId="2" borderId="66" xfId="0" applyFont="1" applyFill="1" applyBorder="1" applyAlignment="1" applyProtection="1">
      <alignment horizontal="center" vertical="center" shrinkToFit="1"/>
      <protection locked="0"/>
    </xf>
    <xf numFmtId="0" fontId="13" fillId="2" borderId="69" xfId="0" applyFont="1" applyFill="1" applyBorder="1" applyAlignment="1" applyProtection="1">
      <alignment horizontal="center" vertical="center" shrinkToFit="1"/>
      <protection locked="0"/>
    </xf>
    <xf numFmtId="0" fontId="9" fillId="2" borderId="70" xfId="0" applyFont="1" applyFill="1" applyBorder="1" applyAlignment="1" applyProtection="1">
      <alignment horizontal="center" vertical="center" shrinkToFit="1"/>
      <protection locked="0"/>
    </xf>
    <xf numFmtId="0" fontId="13" fillId="2" borderId="74" xfId="0" applyFont="1" applyFill="1" applyBorder="1" applyAlignment="1" applyProtection="1">
      <alignment horizontal="center" vertical="center" shrinkToFit="1"/>
      <protection locked="0"/>
    </xf>
    <xf numFmtId="0" fontId="9" fillId="2" borderId="73" xfId="0" applyFont="1" applyFill="1" applyBorder="1" applyAlignment="1" applyProtection="1">
      <alignment horizontal="center" vertical="center" shrinkToFit="1"/>
      <protection locked="0"/>
    </xf>
    <xf numFmtId="0" fontId="13" fillId="2" borderId="77" xfId="0" applyFont="1" applyFill="1" applyBorder="1" applyAlignment="1" applyProtection="1">
      <alignment horizontal="center" vertical="center" shrinkToFit="1"/>
      <protection locked="0"/>
    </xf>
    <xf numFmtId="0" fontId="9" fillId="2" borderId="78" xfId="0" applyFont="1" applyFill="1" applyBorder="1" applyAlignment="1" applyProtection="1">
      <alignment horizontal="center" vertical="center" shrinkToFit="1"/>
      <protection locked="0"/>
    </xf>
    <xf numFmtId="0" fontId="6" fillId="2" borderId="58" xfId="0" applyFont="1" applyFill="1" applyBorder="1" applyAlignment="1" applyProtection="1">
      <alignment horizontal="left" vertical="center" shrinkToFit="1"/>
      <protection locked="0"/>
    </xf>
    <xf numFmtId="0" fontId="6" fillId="2" borderId="60" xfId="0" applyFont="1" applyFill="1" applyBorder="1" applyAlignment="1" applyProtection="1">
      <alignment horizontal="left" vertical="center" shrinkToFit="1"/>
      <protection locked="0"/>
    </xf>
    <xf numFmtId="0" fontId="6" fillId="2" borderId="65" xfId="0" applyFont="1" applyFill="1" applyBorder="1" applyAlignment="1" applyProtection="1">
      <alignment horizontal="left" vertical="center" shrinkToFit="1"/>
      <protection locked="0"/>
    </xf>
    <xf numFmtId="0" fontId="6" fillId="2" borderId="67" xfId="0" applyFont="1" applyFill="1" applyBorder="1" applyAlignment="1" applyProtection="1">
      <alignment horizontal="left" vertical="center" shrinkToFit="1"/>
      <protection locked="0"/>
    </xf>
    <xf numFmtId="0" fontId="6" fillId="2" borderId="72" xfId="0" applyFont="1" applyFill="1" applyBorder="1" applyAlignment="1" applyProtection="1">
      <alignment horizontal="left" vertical="center" shrinkToFit="1"/>
      <protection locked="0"/>
    </xf>
    <xf numFmtId="0" fontId="6" fillId="2" borderId="74" xfId="0" applyFont="1" applyFill="1" applyBorder="1" applyAlignment="1" applyProtection="1">
      <alignment horizontal="left" vertical="center" shrinkToFit="1"/>
      <protection locked="0"/>
    </xf>
    <xf numFmtId="0" fontId="11" fillId="2" borderId="60" xfId="0" applyFont="1" applyFill="1" applyBorder="1" applyAlignment="1" applyProtection="1">
      <alignment horizontal="left" vertical="center" wrapText="1" shrinkToFit="1"/>
      <protection locked="0"/>
    </xf>
    <xf numFmtId="0" fontId="11" fillId="2" borderId="67" xfId="0" applyFont="1" applyFill="1" applyBorder="1" applyAlignment="1" applyProtection="1">
      <alignment horizontal="left" vertical="center" wrapText="1" shrinkToFit="1"/>
      <protection locked="0"/>
    </xf>
    <xf numFmtId="0" fontId="11" fillId="2" borderId="74" xfId="0" applyFont="1" applyFill="1" applyBorder="1" applyAlignment="1" applyProtection="1">
      <alignment horizontal="left" vertical="center" wrapText="1" shrinkToFit="1"/>
      <protection locked="0"/>
    </xf>
    <xf numFmtId="0" fontId="9" fillId="0" borderId="61" xfId="0" applyFont="1" applyBorder="1" applyAlignment="1" applyProtection="1">
      <alignment vertical="center" shrinkToFit="1"/>
      <protection locked="0"/>
    </xf>
    <xf numFmtId="0" fontId="9" fillId="0" borderId="61" xfId="0" applyFont="1" applyBorder="1" applyAlignment="1" applyProtection="1">
      <alignment horizontal="left" vertical="center" shrinkToFit="1"/>
      <protection locked="0"/>
    </xf>
    <xf numFmtId="0" fontId="9" fillId="0" borderId="4" xfId="0" applyFont="1" applyBorder="1" applyAlignment="1" applyProtection="1">
      <alignment horizontal="left" vertical="center" shrinkToFit="1"/>
      <protection locked="0"/>
    </xf>
    <xf numFmtId="0" fontId="9" fillId="0" borderId="4" xfId="0" applyFont="1" applyBorder="1" applyAlignment="1" applyProtection="1">
      <alignment vertical="center" shrinkToFit="1"/>
      <protection locked="0"/>
    </xf>
    <xf numFmtId="0" fontId="9" fillId="0" borderId="75" xfId="0" applyFont="1" applyBorder="1" applyAlignment="1" applyProtection="1">
      <alignment horizontal="left" vertical="center" shrinkToFit="1"/>
      <protection locked="0"/>
    </xf>
    <xf numFmtId="0" fontId="9" fillId="0" borderId="75" xfId="0" applyFont="1" applyBorder="1" applyAlignment="1" applyProtection="1">
      <alignment vertical="center" shrinkToFit="1"/>
      <protection locked="0"/>
    </xf>
    <xf numFmtId="0" fontId="11" fillId="0" borderId="29" xfId="0" applyFont="1" applyBorder="1" applyAlignment="1">
      <alignment horizontal="center" vertical="center" textRotation="255" shrinkToFit="1"/>
    </xf>
    <xf numFmtId="0" fontId="13" fillId="2" borderId="51" xfId="0" applyFont="1" applyFill="1" applyBorder="1" applyAlignment="1">
      <alignment horizontal="center" vertical="center" shrinkToFit="1"/>
    </xf>
    <xf numFmtId="0" fontId="13" fillId="2" borderId="52" xfId="0" applyFont="1" applyFill="1" applyBorder="1" applyAlignment="1">
      <alignment horizontal="center" vertical="center" shrinkToFit="1"/>
    </xf>
    <xf numFmtId="0" fontId="9" fillId="2" borderId="54" xfId="0" applyFont="1" applyFill="1" applyBorder="1" applyAlignment="1">
      <alignment horizontal="center" vertical="center" shrinkToFit="1"/>
    </xf>
    <xf numFmtId="0" fontId="9" fillId="2" borderId="56" xfId="0" applyFont="1" applyFill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6" fillId="0" borderId="42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 shrinkToFit="1"/>
    </xf>
    <xf numFmtId="0" fontId="0" fillId="3" borderId="4" xfId="0" applyFill="1" applyBorder="1" applyAlignment="1">
      <alignment horizontal="center" vertical="center" wrapText="1" shrinkToFit="1"/>
    </xf>
    <xf numFmtId="0" fontId="0" fillId="4" borderId="4" xfId="0" applyFill="1" applyBorder="1" applyAlignment="1">
      <alignment horizontal="center" vertical="center" wrapText="1" shrinkToFit="1"/>
    </xf>
    <xf numFmtId="0" fontId="9" fillId="0" borderId="4" xfId="0" applyFont="1" applyBorder="1">
      <alignment vertical="center"/>
    </xf>
    <xf numFmtId="0" fontId="6" fillId="0" borderId="83" xfId="0" applyFont="1" applyBorder="1">
      <alignment vertical="center"/>
    </xf>
    <xf numFmtId="0" fontId="12" fillId="0" borderId="4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12" fillId="0" borderId="4" xfId="0" applyFont="1" applyBorder="1" applyAlignment="1">
      <alignment horizontal="right" wrapText="1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0" borderId="4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9" fillId="0" borderId="90" xfId="0" applyFont="1" applyBorder="1">
      <alignment vertical="center"/>
    </xf>
    <xf numFmtId="0" fontId="12" fillId="0" borderId="90" xfId="0" applyFont="1" applyBorder="1" applyAlignment="1">
      <alignment horizontal="right"/>
    </xf>
    <xf numFmtId="0" fontId="9" fillId="0" borderId="91" xfId="0" applyFont="1" applyBorder="1">
      <alignment vertical="center"/>
    </xf>
    <xf numFmtId="0" fontId="12" fillId="0" borderId="91" xfId="0" applyFont="1" applyBorder="1" applyAlignment="1">
      <alignment horizontal="right"/>
    </xf>
    <xf numFmtId="0" fontId="8" fillId="0" borderId="4" xfId="0" applyFont="1" applyBorder="1">
      <alignment vertical="center"/>
    </xf>
    <xf numFmtId="0" fontId="8" fillId="0" borderId="86" xfId="0" applyFont="1" applyBorder="1">
      <alignment vertical="center"/>
    </xf>
    <xf numFmtId="0" fontId="8" fillId="0" borderId="68" xfId="0" applyFont="1" applyBorder="1">
      <alignment vertical="center"/>
    </xf>
    <xf numFmtId="0" fontId="9" fillId="0" borderId="79" xfId="0" applyFont="1" applyBorder="1" applyAlignment="1">
      <alignment horizontal="center" vertical="center" shrinkToFit="1"/>
    </xf>
    <xf numFmtId="0" fontId="9" fillId="0" borderId="75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0" borderId="55" xfId="0" applyFont="1" applyBorder="1" applyAlignment="1">
      <alignment horizontal="center" vertical="center" shrinkToFit="1"/>
    </xf>
    <xf numFmtId="0" fontId="9" fillId="0" borderId="87" xfId="0" applyFont="1" applyBorder="1">
      <alignment vertical="center"/>
    </xf>
    <xf numFmtId="0" fontId="6" fillId="0" borderId="88" xfId="0" applyFont="1" applyBorder="1">
      <alignment vertical="center"/>
    </xf>
    <xf numFmtId="0" fontId="9" fillId="0" borderId="89" xfId="0" applyFont="1" applyBorder="1">
      <alignment vertical="center"/>
    </xf>
    <xf numFmtId="0" fontId="6" fillId="0" borderId="35" xfId="0" applyFont="1" applyBorder="1">
      <alignment vertical="center"/>
    </xf>
    <xf numFmtId="0" fontId="6" fillId="0" borderId="9" xfId="0" applyFont="1" applyBorder="1">
      <alignment vertical="center"/>
    </xf>
    <xf numFmtId="0" fontId="9" fillId="0" borderId="87" xfId="0" applyFont="1" applyBorder="1" applyAlignment="1">
      <alignment vertical="center" shrinkToFit="1"/>
    </xf>
    <xf numFmtId="0" fontId="6" fillId="0" borderId="74" xfId="0" applyFont="1" applyBorder="1" applyAlignment="1" applyProtection="1">
      <alignment horizontal="left" vertical="center" shrinkToFit="1"/>
      <protection locked="0"/>
    </xf>
    <xf numFmtId="0" fontId="6" fillId="0" borderId="96" xfId="0" applyFont="1" applyBorder="1" applyAlignment="1" applyProtection="1">
      <alignment horizontal="center" vertical="center"/>
      <protection locked="0"/>
    </xf>
    <xf numFmtId="0" fontId="6" fillId="0" borderId="97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19" fillId="0" borderId="0" xfId="0" applyFont="1">
      <alignment vertical="center"/>
    </xf>
    <xf numFmtId="0" fontId="1" fillId="0" borderId="0" xfId="5">
      <alignment vertical="center"/>
    </xf>
    <xf numFmtId="0" fontId="18" fillId="0" borderId="0" xfId="5" applyFont="1">
      <alignment vertical="center"/>
    </xf>
    <xf numFmtId="0" fontId="18" fillId="0" borderId="0" xfId="5" applyFont="1" applyAlignment="1">
      <alignment horizontal="left" vertical="center"/>
    </xf>
    <xf numFmtId="0" fontId="6" fillId="0" borderId="56" xfId="0" applyFont="1" applyBorder="1" applyAlignment="1">
      <alignment horizontal="center" vertical="center" shrinkToFit="1"/>
    </xf>
    <xf numFmtId="0" fontId="6" fillId="0" borderId="36" xfId="0" applyFont="1" applyBorder="1" applyAlignment="1" applyProtection="1">
      <alignment horizontal="center" vertical="center" wrapText="1"/>
      <protection locked="0"/>
    </xf>
    <xf numFmtId="0" fontId="6" fillId="0" borderId="75" xfId="0" applyFont="1" applyBorder="1" applyAlignment="1">
      <alignment vertical="center" wrapText="1"/>
    </xf>
    <xf numFmtId="0" fontId="6" fillId="0" borderId="75" xfId="0" applyFont="1" applyBorder="1" applyAlignment="1">
      <alignment horizontal="center" vertical="center" wrapText="1"/>
    </xf>
    <xf numFmtId="0" fontId="20" fillId="0" borderId="0" xfId="5" applyFont="1" applyAlignment="1">
      <alignment horizontal="right" vertical="center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6" fillId="0" borderId="23" xfId="0" applyFont="1" applyBorder="1" applyAlignment="1" applyProtection="1">
      <alignment horizontal="left" vertical="center" wrapText="1"/>
      <protection locked="0"/>
    </xf>
    <xf numFmtId="0" fontId="11" fillId="0" borderId="29" xfId="0" applyFont="1" applyBorder="1" applyAlignment="1">
      <alignment horizontal="center" vertical="center" textRotation="255" wrapText="1" shrinkToFit="1"/>
    </xf>
    <xf numFmtId="0" fontId="6" fillId="0" borderId="104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left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13" fillId="2" borderId="36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shrinkToFit="1"/>
    </xf>
    <xf numFmtId="0" fontId="13" fillId="2" borderId="37" xfId="0" applyFont="1" applyFill="1" applyBorder="1" applyAlignment="1">
      <alignment horizontal="center" vertical="center" shrinkToFit="1"/>
    </xf>
    <xf numFmtId="0" fontId="13" fillId="2" borderId="38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 shrinkToFit="1"/>
    </xf>
    <xf numFmtId="0" fontId="13" fillId="2" borderId="44" xfId="0" applyFont="1" applyFill="1" applyBorder="1" applyAlignment="1">
      <alignment horizontal="center" vertical="center" shrinkToFit="1"/>
    </xf>
    <xf numFmtId="0" fontId="13" fillId="2" borderId="22" xfId="0" applyFont="1" applyFill="1" applyBorder="1" applyAlignment="1">
      <alignment horizontal="center" vertical="center" shrinkToFit="1"/>
    </xf>
    <xf numFmtId="0" fontId="13" fillId="2" borderId="80" xfId="0" applyFont="1" applyFill="1" applyBorder="1" applyAlignment="1">
      <alignment horizontal="center" vertical="center" shrinkToFit="1"/>
    </xf>
    <xf numFmtId="0" fontId="13" fillId="2" borderId="81" xfId="0" applyFont="1" applyFill="1" applyBorder="1" applyAlignment="1">
      <alignment horizontal="center" vertical="center" shrinkToFit="1"/>
    </xf>
    <xf numFmtId="0" fontId="13" fillId="2" borderId="7" xfId="0" applyFont="1" applyFill="1" applyBorder="1" applyAlignment="1">
      <alignment horizontal="center" vertical="center" wrapText="1" shrinkToFit="1"/>
    </xf>
    <xf numFmtId="0" fontId="13" fillId="2" borderId="42" xfId="0" applyFont="1" applyFill="1" applyBorder="1" applyAlignment="1">
      <alignment horizontal="center" vertical="center" shrinkToFit="1"/>
    </xf>
    <xf numFmtId="0" fontId="13" fillId="2" borderId="53" xfId="0" applyFont="1" applyFill="1" applyBorder="1" applyAlignment="1">
      <alignment horizontal="center" vertical="center" shrinkToFit="1"/>
    </xf>
    <xf numFmtId="0" fontId="5" fillId="5" borderId="53" xfId="0" applyFont="1" applyFill="1" applyBorder="1" applyAlignment="1">
      <alignment horizontal="center" vertical="center" shrinkToFit="1"/>
    </xf>
    <xf numFmtId="0" fontId="5" fillId="0" borderId="53" xfId="0" applyFont="1" applyBorder="1" applyAlignment="1" applyProtection="1">
      <alignment horizontal="center" vertical="center" shrinkToFit="1"/>
      <protection locked="0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6" fillId="0" borderId="83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7" fillId="0" borderId="47" xfId="0" applyFont="1" applyBorder="1" applyAlignment="1">
      <alignment horizontal="left" vertical="center"/>
    </xf>
    <xf numFmtId="0" fontId="11" fillId="2" borderId="19" xfId="0" applyFont="1" applyFill="1" applyBorder="1" applyAlignment="1">
      <alignment vertical="top" textRotation="255" shrinkToFit="1"/>
    </xf>
    <xf numFmtId="0" fontId="11" fillId="2" borderId="26" xfId="0" applyFont="1" applyFill="1" applyBorder="1" applyAlignment="1">
      <alignment vertical="top" shrinkToFit="1"/>
    </xf>
    <xf numFmtId="0" fontId="11" fillId="2" borderId="30" xfId="0" applyFont="1" applyFill="1" applyBorder="1" applyAlignment="1">
      <alignment vertical="top" shrinkToFit="1"/>
    </xf>
    <xf numFmtId="0" fontId="11" fillId="2" borderId="20" xfId="0" applyFont="1" applyFill="1" applyBorder="1" applyAlignment="1">
      <alignment vertical="top" textRotation="255" shrinkToFit="1"/>
    </xf>
    <xf numFmtId="0" fontId="11" fillId="2" borderId="27" xfId="0" applyFont="1" applyFill="1" applyBorder="1" applyAlignment="1">
      <alignment vertical="top" shrinkToFit="1"/>
    </xf>
    <xf numFmtId="0" fontId="11" fillId="2" borderId="31" xfId="0" applyFont="1" applyFill="1" applyBorder="1" applyAlignment="1">
      <alignment vertical="top" shrinkToFit="1"/>
    </xf>
    <xf numFmtId="0" fontId="6" fillId="0" borderId="4" xfId="0" applyFont="1" applyBorder="1" applyAlignment="1">
      <alignment horizontal="center" vertical="center"/>
    </xf>
    <xf numFmtId="0" fontId="9" fillId="2" borderId="8" xfId="0" applyFont="1" applyFill="1" applyBorder="1" applyAlignment="1">
      <alignment vertical="center" shrinkToFit="1"/>
    </xf>
    <xf numFmtId="0" fontId="9" fillId="2" borderId="9" xfId="0" applyFont="1" applyFill="1" applyBorder="1" applyAlignment="1">
      <alignment vertical="center" shrinkToFit="1"/>
    </xf>
    <xf numFmtId="0" fontId="6" fillId="2" borderId="5" xfId="0" applyFont="1" applyFill="1" applyBorder="1" applyAlignment="1">
      <alignment vertical="center" shrinkToFit="1"/>
    </xf>
    <xf numFmtId="0" fontId="11" fillId="2" borderId="45" xfId="0" applyFont="1" applyFill="1" applyBorder="1" applyAlignment="1">
      <alignment vertical="top" textRotation="255" shrinkToFit="1"/>
    </xf>
    <xf numFmtId="0" fontId="11" fillId="2" borderId="49" xfId="0" applyFont="1" applyFill="1" applyBorder="1" applyAlignment="1">
      <alignment vertical="top" shrinkToFit="1"/>
    </xf>
    <xf numFmtId="0" fontId="11" fillId="2" borderId="57" xfId="0" applyFont="1" applyFill="1" applyBorder="1" applyAlignment="1">
      <alignment vertical="top" shrinkToFit="1"/>
    </xf>
    <xf numFmtId="0" fontId="7" fillId="0" borderId="53" xfId="1" applyBorder="1" applyAlignment="1" applyProtection="1">
      <alignment horizontal="center" vertical="center" shrinkToFit="1"/>
      <protection locked="0"/>
    </xf>
    <xf numFmtId="0" fontId="7" fillId="0" borderId="108" xfId="1" applyBorder="1" applyAlignment="1" applyProtection="1">
      <alignment horizontal="center" vertical="center" shrinkToFit="1"/>
      <protection locked="0"/>
    </xf>
    <xf numFmtId="0" fontId="13" fillId="0" borderId="34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 wrapText="1" shrinkToFit="1"/>
    </xf>
    <xf numFmtId="0" fontId="13" fillId="2" borderId="9" xfId="0" applyFont="1" applyFill="1" applyBorder="1" applyAlignment="1">
      <alignment horizontal="center" vertical="center" wrapText="1" shrinkToFit="1"/>
    </xf>
    <xf numFmtId="0" fontId="13" fillId="2" borderId="41" xfId="0" applyFont="1" applyFill="1" applyBorder="1" applyAlignment="1">
      <alignment horizontal="center" vertical="center" wrapText="1" shrinkToFit="1"/>
    </xf>
    <xf numFmtId="0" fontId="13" fillId="2" borderId="0" xfId="0" applyFont="1" applyFill="1" applyAlignment="1">
      <alignment horizontal="center" vertical="center" wrapText="1" shrinkToFit="1"/>
    </xf>
    <xf numFmtId="0" fontId="13" fillId="2" borderId="46" xfId="0" applyFont="1" applyFill="1" applyBorder="1" applyAlignment="1">
      <alignment horizontal="center" vertical="center" wrapText="1" shrinkToFit="1"/>
    </xf>
    <xf numFmtId="0" fontId="13" fillId="2" borderId="47" xfId="0" applyFont="1" applyFill="1" applyBorder="1" applyAlignment="1">
      <alignment horizontal="center" vertical="center" wrapText="1" shrinkToFit="1"/>
    </xf>
    <xf numFmtId="0" fontId="12" fillId="2" borderId="8" xfId="0" applyFont="1" applyFill="1" applyBorder="1" applyAlignment="1">
      <alignment vertical="center" wrapText="1" shrinkToFit="1"/>
    </xf>
    <xf numFmtId="0" fontId="12" fillId="2" borderId="9" xfId="0" applyFont="1" applyFill="1" applyBorder="1" applyAlignment="1">
      <alignment vertical="center" shrinkToFit="1"/>
    </xf>
    <xf numFmtId="0" fontId="12" fillId="2" borderId="10" xfId="0" applyFont="1" applyFill="1" applyBorder="1" applyAlignment="1">
      <alignment vertical="center" shrinkToFit="1"/>
    </xf>
    <xf numFmtId="0" fontId="6" fillId="0" borderId="13" xfId="0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11" fillId="2" borderId="21" xfId="0" applyFont="1" applyFill="1" applyBorder="1" applyAlignment="1">
      <alignment vertical="top" textRotation="255" shrinkToFit="1"/>
    </xf>
    <xf numFmtId="0" fontId="11" fillId="2" borderId="28" xfId="0" applyFont="1" applyFill="1" applyBorder="1" applyAlignment="1">
      <alignment vertical="top" shrinkToFit="1"/>
    </xf>
    <xf numFmtId="0" fontId="11" fillId="2" borderId="32" xfId="0" applyFont="1" applyFill="1" applyBorder="1" applyAlignment="1">
      <alignment vertical="top" shrinkToFit="1"/>
    </xf>
    <xf numFmtId="0" fontId="5" fillId="5" borderId="105" xfId="0" applyFont="1" applyFill="1" applyBorder="1" applyAlignment="1">
      <alignment horizontal="center" vertical="center" wrapText="1"/>
    </xf>
    <xf numFmtId="0" fontId="5" fillId="5" borderId="107" xfId="0" applyFont="1" applyFill="1" applyBorder="1" applyAlignment="1">
      <alignment horizontal="center" vertical="center" wrapText="1"/>
    </xf>
    <xf numFmtId="0" fontId="5" fillId="0" borderId="107" xfId="0" applyFont="1" applyBorder="1" applyAlignment="1" applyProtection="1">
      <alignment horizontal="center" vertical="center" shrinkToFit="1"/>
      <protection locked="0"/>
    </xf>
    <xf numFmtId="0" fontId="5" fillId="0" borderId="106" xfId="0" applyFont="1" applyBorder="1" applyAlignment="1" applyProtection="1">
      <alignment horizontal="center" vertical="center" shrinkToFit="1"/>
      <protection locked="0"/>
    </xf>
    <xf numFmtId="0" fontId="5" fillId="5" borderId="102" xfId="0" applyFont="1" applyFill="1" applyBorder="1" applyAlignment="1">
      <alignment horizontal="center" vertical="center" shrinkToFit="1"/>
    </xf>
    <xf numFmtId="0" fontId="5" fillId="5" borderId="107" xfId="0" applyFont="1" applyFill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80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92" xfId="0" applyFont="1" applyBorder="1" applyAlignment="1">
      <alignment horizontal="center" vertical="center" shrinkToFit="1"/>
    </xf>
    <xf numFmtId="0" fontId="8" fillId="0" borderId="93" xfId="0" applyFont="1" applyBorder="1" applyAlignment="1">
      <alignment horizontal="center" vertical="center" shrinkToFit="1"/>
    </xf>
    <xf numFmtId="0" fontId="8" fillId="0" borderId="94" xfId="0" applyFont="1" applyBorder="1" applyAlignment="1">
      <alignment horizontal="center" vertical="center" shrinkToFit="1"/>
    </xf>
    <xf numFmtId="0" fontId="8" fillId="0" borderId="95" xfId="0" applyFont="1" applyBorder="1" applyAlignment="1">
      <alignment horizontal="center" vertical="center" shrinkToFit="1"/>
    </xf>
    <xf numFmtId="0" fontId="8" fillId="0" borderId="81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6" fillId="0" borderId="81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68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0" fontId="6" fillId="0" borderId="98" xfId="0" applyFont="1" applyBorder="1" applyAlignment="1" applyProtection="1">
      <alignment horizontal="left" vertical="center" wrapText="1"/>
      <protection locked="0"/>
    </xf>
    <xf numFmtId="0" fontId="6" fillId="0" borderId="99" xfId="0" applyFont="1" applyBorder="1" applyAlignment="1" applyProtection="1">
      <alignment horizontal="left" vertical="center" wrapText="1"/>
      <protection locked="0"/>
    </xf>
    <xf numFmtId="0" fontId="6" fillId="0" borderId="29" xfId="0" applyFont="1" applyBorder="1" applyAlignment="1" applyProtection="1">
      <alignment horizontal="left" vertical="center" wrapText="1"/>
      <protection locked="0"/>
    </xf>
    <xf numFmtId="0" fontId="6" fillId="0" borderId="100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6" fillId="0" borderId="15" xfId="0" applyFont="1" applyBorder="1" applyAlignment="1" applyProtection="1">
      <alignment horizontal="left" vertical="center" wrapText="1"/>
      <protection locked="0"/>
    </xf>
    <xf numFmtId="0" fontId="6" fillId="0" borderId="43" xfId="0" applyFont="1" applyBorder="1" applyAlignment="1" applyProtection="1">
      <alignment horizontal="left" vertical="center" wrapText="1"/>
      <protection locked="0"/>
    </xf>
    <xf numFmtId="0" fontId="6" fillId="0" borderId="101" xfId="0" applyFont="1" applyBorder="1" applyAlignment="1">
      <alignment horizontal="center" vertical="center"/>
    </xf>
    <xf numFmtId="0" fontId="6" fillId="0" borderId="10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0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6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37" xfId="0" applyFont="1" applyBorder="1" applyAlignment="1" applyProtection="1">
      <alignment horizontal="left" vertical="center" wrapText="1"/>
      <protection locked="0"/>
    </xf>
    <xf numFmtId="0" fontId="7" fillId="0" borderId="0" xfId="1" applyBorder="1" applyAlignment="1" applyProtection="1">
      <alignment horizontal="center" vertical="center" shrinkToFit="1"/>
      <protection locked="0"/>
    </xf>
    <xf numFmtId="0" fontId="0" fillId="0" borderId="0" xfId="0" applyBorder="1">
      <alignment vertical="center"/>
    </xf>
    <xf numFmtId="0" fontId="5" fillId="5" borderId="109" xfId="0" applyFont="1" applyFill="1" applyBorder="1" applyAlignment="1">
      <alignment horizontal="center" vertical="center" shrinkToFit="1"/>
    </xf>
    <xf numFmtId="0" fontId="5" fillId="5" borderId="110" xfId="0" applyFont="1" applyFill="1" applyBorder="1" applyAlignment="1">
      <alignment horizontal="center" vertical="center" shrinkToFit="1"/>
    </xf>
    <xf numFmtId="0" fontId="5" fillId="0" borderId="109" xfId="0" applyFont="1" applyBorder="1" applyAlignment="1" applyProtection="1">
      <alignment horizontal="center" vertical="center" shrinkToFit="1"/>
      <protection locked="0"/>
    </xf>
    <xf numFmtId="0" fontId="5" fillId="0" borderId="94" xfId="0" applyFont="1" applyBorder="1" applyAlignment="1" applyProtection="1">
      <alignment horizontal="center" vertical="center" shrinkToFit="1"/>
      <protection locked="0"/>
    </xf>
    <xf numFmtId="0" fontId="5" fillId="0" borderId="110" xfId="0" applyFont="1" applyBorder="1" applyAlignment="1" applyProtection="1">
      <alignment horizontal="center" vertical="center" shrinkToFit="1"/>
      <protection locked="0"/>
    </xf>
    <xf numFmtId="0" fontId="9" fillId="0" borderId="0" xfId="0" applyFont="1">
      <alignment vertical="center"/>
    </xf>
  </cellXfs>
  <cellStyles count="6">
    <cellStyle name="ハイパーリンク" xfId="1" builtinId="8"/>
    <cellStyle name="標準" xfId="0" builtinId="0"/>
    <cellStyle name="標準 2" xfId="2"/>
    <cellStyle name="標準 2 2" xfId="4"/>
    <cellStyle name="標準 3" xfId="3"/>
    <cellStyle name="標準 3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dmxcifs01\home\&#29983;&#24466;&#25351;&#23566;&#20225;&#30011;&#20418;\400_&#20307;&#32624;&#65295;&#24773;&#21205;&#65295;&#34384;&#24453;\410_&#20307;&#32624;\H29&#20307;&#32624;&#35519;&#26619;\02%20&#35519;&#26619;&#31080;&#30330;&#36865;&#65288;&#22269;&#31169;&#12408;&#65289;\01%20&#32207;&#25324;&#34920;1&#65291;&#27096;&#24335;1-1&#65374;1-9(&#25074;&#25106;&#20966;&#20998;&#31561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１"/>
      <sheetName val="様式1-1"/>
      <sheetName val="様式1-2"/>
      <sheetName val="様式1-4"/>
      <sheetName val="様式1-5"/>
      <sheetName val="様式1-6"/>
      <sheetName val="様式1-7"/>
      <sheetName val="様式1-8"/>
      <sheetName val="様式1-8（別紙）"/>
      <sheetName val="様式1-9"/>
      <sheetName val="表2-7"/>
      <sheetName val="リスト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">
          <cell r="A1" t="str">
            <v>１　北海道</v>
          </cell>
        </row>
        <row r="2">
          <cell r="A2" t="str">
            <v>２　青森県</v>
          </cell>
        </row>
        <row r="3">
          <cell r="A3" t="str">
            <v>３　岩手県</v>
          </cell>
        </row>
        <row r="4">
          <cell r="A4" t="str">
            <v>４　宮城県</v>
          </cell>
        </row>
        <row r="5">
          <cell r="A5" t="str">
            <v>５　秋田県</v>
          </cell>
        </row>
        <row r="6">
          <cell r="A6" t="str">
            <v>６　山形県</v>
          </cell>
        </row>
        <row r="7">
          <cell r="A7" t="str">
            <v>７　福島県</v>
          </cell>
        </row>
        <row r="8">
          <cell r="A8" t="str">
            <v>８　茨城県</v>
          </cell>
        </row>
        <row r="9">
          <cell r="A9" t="str">
            <v>９　栃木県</v>
          </cell>
        </row>
        <row r="10">
          <cell r="A10" t="str">
            <v>10 群馬県</v>
          </cell>
        </row>
        <row r="11">
          <cell r="A11" t="str">
            <v>11 埼玉県</v>
          </cell>
        </row>
        <row r="12">
          <cell r="A12" t="str">
            <v>12 千葉県</v>
          </cell>
        </row>
        <row r="13">
          <cell r="A13" t="str">
            <v>13 東京都</v>
          </cell>
        </row>
        <row r="14">
          <cell r="A14" t="str">
            <v>14 神奈川県</v>
          </cell>
        </row>
        <row r="15">
          <cell r="A15" t="str">
            <v>15 新潟県</v>
          </cell>
        </row>
        <row r="16">
          <cell r="A16" t="str">
            <v>16 富山県</v>
          </cell>
        </row>
        <row r="17">
          <cell r="A17" t="str">
            <v>17 石川県</v>
          </cell>
        </row>
        <row r="18">
          <cell r="A18" t="str">
            <v>18 福井県</v>
          </cell>
        </row>
        <row r="19">
          <cell r="A19" t="str">
            <v>19 山梨県</v>
          </cell>
        </row>
        <row r="20">
          <cell r="A20" t="str">
            <v>20 長野県</v>
          </cell>
        </row>
        <row r="21">
          <cell r="A21" t="str">
            <v>21 岐阜県</v>
          </cell>
        </row>
        <row r="22">
          <cell r="A22" t="str">
            <v>22 静岡県</v>
          </cell>
        </row>
        <row r="23">
          <cell r="A23" t="str">
            <v>23 愛知県</v>
          </cell>
        </row>
        <row r="24">
          <cell r="A24" t="str">
            <v>24 三重県</v>
          </cell>
        </row>
        <row r="25">
          <cell r="A25" t="str">
            <v>25 滋賀県</v>
          </cell>
        </row>
        <row r="26">
          <cell r="A26" t="str">
            <v>26 京都府</v>
          </cell>
        </row>
        <row r="27">
          <cell r="A27" t="str">
            <v>27 大阪府</v>
          </cell>
        </row>
        <row r="28">
          <cell r="A28" t="str">
            <v>28 兵庫県</v>
          </cell>
        </row>
        <row r="29">
          <cell r="A29" t="str">
            <v>29 奈良県</v>
          </cell>
        </row>
        <row r="30">
          <cell r="A30" t="str">
            <v>30 和歌山県</v>
          </cell>
        </row>
        <row r="31">
          <cell r="A31" t="str">
            <v>31 鳥取県</v>
          </cell>
        </row>
        <row r="32">
          <cell r="A32" t="str">
            <v>32 島根県</v>
          </cell>
        </row>
        <row r="33">
          <cell r="A33" t="str">
            <v>33 岡山県</v>
          </cell>
        </row>
        <row r="34">
          <cell r="A34" t="str">
            <v>34 広島県</v>
          </cell>
        </row>
        <row r="35">
          <cell r="A35" t="str">
            <v>35 山口県</v>
          </cell>
        </row>
        <row r="36">
          <cell r="A36" t="str">
            <v>36 徳島県</v>
          </cell>
        </row>
        <row r="37">
          <cell r="A37" t="str">
            <v>37 香川県</v>
          </cell>
        </row>
        <row r="38">
          <cell r="A38" t="str">
            <v>38 愛媛県</v>
          </cell>
        </row>
        <row r="39">
          <cell r="A39" t="str">
            <v>39 高知県</v>
          </cell>
        </row>
        <row r="40">
          <cell r="A40" t="str">
            <v>40 福岡県</v>
          </cell>
        </row>
        <row r="41">
          <cell r="A41" t="str">
            <v>41 佐賀県</v>
          </cell>
        </row>
        <row r="42">
          <cell r="A42" t="str">
            <v>42 長崎県</v>
          </cell>
        </row>
        <row r="43">
          <cell r="A43" t="str">
            <v>43 熊本県</v>
          </cell>
        </row>
        <row r="44">
          <cell r="A44" t="str">
            <v>44 大分県</v>
          </cell>
        </row>
        <row r="45">
          <cell r="A45" t="str">
            <v>45 宮崎県</v>
          </cell>
        </row>
        <row r="46">
          <cell r="A46" t="str">
            <v>46 鹿児島県</v>
          </cell>
        </row>
        <row r="47">
          <cell r="A47" t="str">
            <v>47 沖縄県</v>
          </cell>
        </row>
        <row r="48">
          <cell r="A48" t="str">
            <v>48 札幌市</v>
          </cell>
        </row>
        <row r="49">
          <cell r="A49" t="str">
            <v>49 仙台市</v>
          </cell>
        </row>
        <row r="50">
          <cell r="A50" t="str">
            <v>50 さいたま市</v>
          </cell>
        </row>
        <row r="51">
          <cell r="A51" t="str">
            <v>51 千葉市</v>
          </cell>
        </row>
        <row r="52">
          <cell r="A52" t="str">
            <v>52 川崎市</v>
          </cell>
        </row>
        <row r="53">
          <cell r="A53" t="str">
            <v>53 横浜市</v>
          </cell>
        </row>
        <row r="54">
          <cell r="A54" t="str">
            <v>54 相模原市</v>
          </cell>
        </row>
        <row r="55">
          <cell r="A55" t="str">
            <v>55 新潟市</v>
          </cell>
        </row>
        <row r="56">
          <cell r="A56" t="str">
            <v>56 静岡市</v>
          </cell>
        </row>
        <row r="57">
          <cell r="A57" t="str">
            <v>57 浜松市</v>
          </cell>
        </row>
        <row r="58">
          <cell r="A58" t="str">
            <v>58 名古屋市</v>
          </cell>
        </row>
        <row r="59">
          <cell r="A59" t="str">
            <v>59 京都市</v>
          </cell>
        </row>
        <row r="60">
          <cell r="A60" t="str">
            <v>60 大阪市</v>
          </cell>
        </row>
        <row r="61">
          <cell r="A61" t="str">
            <v>61 堺市</v>
          </cell>
        </row>
        <row r="62">
          <cell r="A62" t="str">
            <v>62 神戸市</v>
          </cell>
        </row>
        <row r="63">
          <cell r="A63" t="str">
            <v>63 岡山市</v>
          </cell>
        </row>
        <row r="64">
          <cell r="A64" t="str">
            <v>64 広島市</v>
          </cell>
        </row>
        <row r="65">
          <cell r="A65" t="str">
            <v>65 北九州市</v>
          </cell>
        </row>
        <row r="66">
          <cell r="A66" t="str">
            <v>66 福岡市</v>
          </cell>
        </row>
        <row r="67">
          <cell r="A67" t="str">
            <v>67 熊本市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66CC"/>
    <pageSetUpPr fitToPage="1"/>
  </sheetPr>
  <dimension ref="A1:CK67"/>
  <sheetViews>
    <sheetView tabSelected="1" view="pageBreakPreview" zoomScale="85" zoomScaleNormal="70" zoomScaleSheetLayoutView="85" workbookViewId="0">
      <selection activeCell="I11" sqref="I11"/>
    </sheetView>
  </sheetViews>
  <sheetFormatPr defaultColWidth="9" defaultRowHeight="13.5" x14ac:dyDescent="0.15"/>
  <cols>
    <col min="1" max="1" width="5.625" style="1" customWidth="1"/>
    <col min="2" max="3" width="13.625" style="1" customWidth="1"/>
    <col min="4" max="8" width="8.625" style="1" customWidth="1"/>
    <col min="9" max="9" width="8.375" style="1" customWidth="1"/>
    <col min="10" max="10" width="9.625" style="1" customWidth="1"/>
    <col min="11" max="11" width="8.875" style="1" customWidth="1"/>
    <col min="12" max="12" width="13.375" style="1" customWidth="1"/>
    <col min="13" max="23" width="3.125" style="1" customWidth="1"/>
    <col min="24" max="24" width="13.625" style="1" customWidth="1"/>
    <col min="25" max="25" width="17.625" style="1" customWidth="1"/>
    <col min="26" max="26" width="15.625" style="1" customWidth="1"/>
    <col min="27" max="33" width="3.5" style="1" customWidth="1"/>
    <col min="34" max="34" width="6.625" style="1" customWidth="1"/>
    <col min="35" max="89" width="6.125" style="1" customWidth="1"/>
    <col min="90" max="16384" width="9" style="1"/>
  </cols>
  <sheetData>
    <row r="1" spans="1:23" customFormat="1" ht="36" customHeight="1" thickBot="1" x14ac:dyDescent="0.2">
      <c r="A1" s="163" t="s">
        <v>147</v>
      </c>
      <c r="B1" s="164"/>
      <c r="C1" s="165"/>
      <c r="D1" s="165"/>
      <c r="E1" s="165"/>
      <c r="F1" s="165"/>
      <c r="G1" s="165"/>
      <c r="H1" s="168" t="s">
        <v>148</v>
      </c>
      <c r="I1" s="168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6"/>
    </row>
    <row r="2" spans="1:23" customFormat="1" ht="36" customHeight="1" thickBot="1" x14ac:dyDescent="0.2">
      <c r="A2" s="167" t="s">
        <v>0</v>
      </c>
      <c r="B2" s="104"/>
      <c r="C2" s="105"/>
      <c r="D2" s="105"/>
      <c r="E2" s="221" t="s">
        <v>152</v>
      </c>
      <c r="F2" s="222"/>
      <c r="G2" s="223"/>
      <c r="H2" s="224"/>
      <c r="I2" s="225"/>
      <c r="J2" s="104" t="s">
        <v>1</v>
      </c>
      <c r="K2" s="104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1"/>
    </row>
    <row r="3" spans="1:23" customFormat="1" ht="36" customHeight="1" x14ac:dyDescent="0.15"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</row>
    <row r="4" spans="1:23" customFormat="1" ht="36" customHeight="1" x14ac:dyDescent="0.15">
      <c r="A4" s="226" t="s">
        <v>151</v>
      </c>
      <c r="N4" s="219"/>
      <c r="O4" s="219"/>
      <c r="P4" s="219"/>
      <c r="Q4" s="219"/>
      <c r="R4" s="219"/>
      <c r="S4" s="219"/>
      <c r="T4" s="219"/>
      <c r="U4" s="219"/>
      <c r="V4" s="219"/>
      <c r="W4" s="219"/>
    </row>
    <row r="5" spans="1:23" customFormat="1" ht="36.950000000000003" customHeight="1" x14ac:dyDescent="0.15">
      <c r="A5" s="77" t="s">
        <v>133</v>
      </c>
      <c r="N5" s="220"/>
    </row>
    <row r="6" spans="1:23" ht="18" customHeight="1" thickBot="1" x14ac:dyDescent="0.2">
      <c r="E6" s="2"/>
      <c r="F6" s="2"/>
      <c r="G6" s="2"/>
      <c r="H6" s="2"/>
      <c r="I6" s="2"/>
      <c r="J6" s="2"/>
      <c r="K6" s="2"/>
      <c r="L6" s="2"/>
      <c r="M6" s="2"/>
      <c r="N6" s="2"/>
    </row>
    <row r="7" spans="1:23" ht="33.75" customHeight="1" x14ac:dyDescent="0.15">
      <c r="A7" s="142" t="s">
        <v>27</v>
      </c>
      <c r="B7" s="145" t="s">
        <v>28</v>
      </c>
      <c r="C7" s="146"/>
      <c r="D7" s="146"/>
      <c r="E7" s="92" t="s">
        <v>131</v>
      </c>
      <c r="F7" s="93"/>
      <c r="G7" s="93"/>
      <c r="H7" s="94"/>
      <c r="I7" s="95" t="s">
        <v>3</v>
      </c>
      <c r="J7" s="96"/>
      <c r="K7" s="101" t="s">
        <v>145</v>
      </c>
      <c r="L7" s="101" t="s">
        <v>150</v>
      </c>
      <c r="M7" s="151" t="s">
        <v>146</v>
      </c>
      <c r="N7" s="152"/>
      <c r="O7" s="152"/>
      <c r="P7" s="152"/>
      <c r="Q7" s="153"/>
      <c r="R7" s="134" t="s">
        <v>5</v>
      </c>
      <c r="S7" s="135"/>
      <c r="T7" s="135"/>
      <c r="U7" s="135"/>
      <c r="V7" s="135"/>
      <c r="W7" s="136"/>
    </row>
    <row r="8" spans="1:23" ht="33.950000000000003" customHeight="1" x14ac:dyDescent="0.15">
      <c r="A8" s="143"/>
      <c r="B8" s="147"/>
      <c r="C8" s="148"/>
      <c r="D8" s="148"/>
      <c r="E8" s="154" t="s">
        <v>143</v>
      </c>
      <c r="F8" s="155"/>
      <c r="G8" s="155"/>
      <c r="H8" s="156"/>
      <c r="I8" s="97"/>
      <c r="J8" s="98"/>
      <c r="K8" s="102"/>
      <c r="L8" s="102"/>
      <c r="M8" s="127" t="s">
        <v>128</v>
      </c>
      <c r="N8" s="130" t="s">
        <v>14</v>
      </c>
      <c r="O8" s="130" t="s">
        <v>15</v>
      </c>
      <c r="P8" s="130" t="s">
        <v>16</v>
      </c>
      <c r="Q8" s="160" t="s">
        <v>17</v>
      </c>
      <c r="R8" s="127" t="s">
        <v>18</v>
      </c>
      <c r="S8" s="130" t="s">
        <v>19</v>
      </c>
      <c r="T8" s="130" t="s">
        <v>129</v>
      </c>
      <c r="U8" s="130" t="s">
        <v>130</v>
      </c>
      <c r="V8" s="130" t="s">
        <v>20</v>
      </c>
      <c r="W8" s="137" t="s">
        <v>21</v>
      </c>
    </row>
    <row r="9" spans="1:23" ht="33.950000000000003" customHeight="1" x14ac:dyDescent="0.15">
      <c r="A9" s="143"/>
      <c r="B9" s="149"/>
      <c r="C9" s="150"/>
      <c r="D9" s="150"/>
      <c r="E9" s="157"/>
      <c r="F9" s="158"/>
      <c r="G9" s="158"/>
      <c r="H9" s="159"/>
      <c r="I9" s="99"/>
      <c r="J9" s="100"/>
      <c r="K9" s="102"/>
      <c r="L9" s="102"/>
      <c r="M9" s="128"/>
      <c r="N9" s="131"/>
      <c r="O9" s="131"/>
      <c r="P9" s="131"/>
      <c r="Q9" s="161"/>
      <c r="R9" s="128"/>
      <c r="S9" s="131"/>
      <c r="T9" s="131"/>
      <c r="U9" s="131"/>
      <c r="V9" s="131"/>
      <c r="W9" s="138"/>
    </row>
    <row r="10" spans="1:23" ht="48.75" customHeight="1" thickBot="1" x14ac:dyDescent="0.2">
      <c r="A10" s="144"/>
      <c r="B10" s="31" t="s">
        <v>6</v>
      </c>
      <c r="C10" s="32" t="s">
        <v>7</v>
      </c>
      <c r="D10" s="32" t="s">
        <v>8</v>
      </c>
      <c r="E10" s="88" t="s">
        <v>142</v>
      </c>
      <c r="F10" s="30" t="s">
        <v>121</v>
      </c>
      <c r="G10" s="30" t="s">
        <v>122</v>
      </c>
      <c r="H10" s="30" t="s">
        <v>123</v>
      </c>
      <c r="I10" s="33" t="s">
        <v>29</v>
      </c>
      <c r="J10" s="34" t="s">
        <v>30</v>
      </c>
      <c r="K10" s="103"/>
      <c r="L10" s="103"/>
      <c r="M10" s="129"/>
      <c r="N10" s="132"/>
      <c r="O10" s="132"/>
      <c r="P10" s="132"/>
      <c r="Q10" s="162"/>
      <c r="R10" s="129"/>
      <c r="S10" s="132"/>
      <c r="T10" s="132"/>
      <c r="U10" s="132"/>
      <c r="V10" s="132"/>
      <c r="W10" s="139"/>
    </row>
    <row r="11" spans="1:23" ht="23.45" customHeight="1" x14ac:dyDescent="0.15">
      <c r="A11" s="35">
        <v>1</v>
      </c>
      <c r="B11" s="15" t="s">
        <v>144</v>
      </c>
      <c r="C11" s="16"/>
      <c r="D11" s="16"/>
      <c r="E11" s="25"/>
      <c r="F11" s="24"/>
      <c r="G11" s="24"/>
      <c r="H11" s="24"/>
      <c r="I11" s="16"/>
      <c r="J11" s="16"/>
      <c r="K11" s="21"/>
      <c r="L11" s="16"/>
      <c r="M11" s="3"/>
      <c r="N11" s="5"/>
      <c r="O11" s="5"/>
      <c r="P11" s="5"/>
      <c r="Q11" s="4"/>
      <c r="R11" s="3"/>
      <c r="S11" s="5"/>
      <c r="T11" s="5"/>
      <c r="U11" s="5"/>
      <c r="V11" s="5"/>
      <c r="W11" s="6"/>
    </row>
    <row r="12" spans="1:23" ht="23.45" customHeight="1" x14ac:dyDescent="0.15">
      <c r="A12" s="36">
        <v>2</v>
      </c>
      <c r="B12" s="17" t="s">
        <v>144</v>
      </c>
      <c r="C12" s="18"/>
      <c r="D12" s="18"/>
      <c r="E12" s="26"/>
      <c r="F12" s="27"/>
      <c r="G12" s="27"/>
      <c r="H12" s="27"/>
      <c r="I12" s="18"/>
      <c r="J12" s="18"/>
      <c r="K12" s="22"/>
      <c r="L12" s="18"/>
      <c r="M12" s="7"/>
      <c r="N12" s="9"/>
      <c r="O12" s="9"/>
      <c r="P12" s="9"/>
      <c r="Q12" s="8"/>
      <c r="R12" s="7"/>
      <c r="S12" s="9"/>
      <c r="T12" s="9"/>
      <c r="U12" s="9"/>
      <c r="V12" s="9"/>
      <c r="W12" s="10"/>
    </row>
    <row r="13" spans="1:23" ht="23.45" customHeight="1" x14ac:dyDescent="0.15">
      <c r="A13" s="36">
        <v>3</v>
      </c>
      <c r="B13" s="17" t="s">
        <v>144</v>
      </c>
      <c r="C13" s="18"/>
      <c r="D13" s="18"/>
      <c r="E13" s="26"/>
      <c r="F13" s="27"/>
      <c r="G13" s="27"/>
      <c r="H13" s="27"/>
      <c r="I13" s="18"/>
      <c r="J13" s="18"/>
      <c r="K13" s="22"/>
      <c r="L13" s="18"/>
      <c r="M13" s="7"/>
      <c r="N13" s="9"/>
      <c r="O13" s="9"/>
      <c r="P13" s="9"/>
      <c r="Q13" s="8"/>
      <c r="R13" s="7"/>
      <c r="S13" s="9"/>
      <c r="T13" s="9"/>
      <c r="U13" s="9"/>
      <c r="V13" s="9"/>
      <c r="W13" s="10"/>
    </row>
    <row r="14" spans="1:23" ht="23.45" customHeight="1" x14ac:dyDescent="0.15">
      <c r="A14" s="36">
        <v>4</v>
      </c>
      <c r="B14" s="17" t="s">
        <v>144</v>
      </c>
      <c r="C14" s="18"/>
      <c r="D14" s="18"/>
      <c r="E14" s="26"/>
      <c r="F14" s="27"/>
      <c r="G14" s="27"/>
      <c r="H14" s="27"/>
      <c r="I14" s="18"/>
      <c r="J14" s="18"/>
      <c r="K14" s="22"/>
      <c r="L14" s="18"/>
      <c r="M14" s="7"/>
      <c r="N14" s="9"/>
      <c r="O14" s="9"/>
      <c r="P14" s="9"/>
      <c r="Q14" s="8"/>
      <c r="R14" s="7"/>
      <c r="S14" s="9"/>
      <c r="T14" s="9"/>
      <c r="U14" s="9"/>
      <c r="V14" s="9"/>
      <c r="W14" s="10"/>
    </row>
    <row r="15" spans="1:23" ht="23.45" customHeight="1" x14ac:dyDescent="0.15">
      <c r="A15" s="36">
        <v>5</v>
      </c>
      <c r="B15" s="17" t="s">
        <v>144</v>
      </c>
      <c r="C15" s="18"/>
      <c r="D15" s="18"/>
      <c r="E15" s="26"/>
      <c r="F15" s="27"/>
      <c r="G15" s="27"/>
      <c r="H15" s="27"/>
      <c r="I15" s="18"/>
      <c r="J15" s="18"/>
      <c r="K15" s="22"/>
      <c r="L15" s="18"/>
      <c r="M15" s="7"/>
      <c r="N15" s="9"/>
      <c r="O15" s="9"/>
      <c r="P15" s="9"/>
      <c r="Q15" s="8"/>
      <c r="R15" s="7"/>
      <c r="S15" s="9"/>
      <c r="T15" s="9"/>
      <c r="U15" s="9"/>
      <c r="V15" s="9"/>
      <c r="W15" s="10"/>
    </row>
    <row r="16" spans="1:23" ht="23.45" customHeight="1" x14ac:dyDescent="0.15">
      <c r="A16" s="36">
        <v>6</v>
      </c>
      <c r="B16" s="17" t="s">
        <v>144</v>
      </c>
      <c r="C16" s="18"/>
      <c r="D16" s="18"/>
      <c r="E16" s="26"/>
      <c r="F16" s="27"/>
      <c r="G16" s="27"/>
      <c r="H16" s="27"/>
      <c r="I16" s="18"/>
      <c r="J16" s="18"/>
      <c r="K16" s="22"/>
      <c r="L16" s="18"/>
      <c r="M16" s="7"/>
      <c r="N16" s="9"/>
      <c r="O16" s="9"/>
      <c r="P16" s="9"/>
      <c r="Q16" s="8"/>
      <c r="R16" s="7"/>
      <c r="S16" s="9"/>
      <c r="T16" s="9"/>
      <c r="U16" s="9"/>
      <c r="V16" s="9"/>
      <c r="W16" s="10"/>
    </row>
    <row r="17" spans="1:23" ht="23.45" customHeight="1" x14ac:dyDescent="0.15">
      <c r="A17" s="36">
        <v>7</v>
      </c>
      <c r="B17" s="17" t="s">
        <v>144</v>
      </c>
      <c r="C17" s="18"/>
      <c r="D17" s="18"/>
      <c r="E17" s="26"/>
      <c r="F17" s="27"/>
      <c r="G17" s="27"/>
      <c r="H17" s="27"/>
      <c r="I17" s="18"/>
      <c r="J17" s="18"/>
      <c r="K17" s="22"/>
      <c r="L17" s="18"/>
      <c r="M17" s="7"/>
      <c r="N17" s="9"/>
      <c r="O17" s="9"/>
      <c r="P17" s="9"/>
      <c r="Q17" s="8"/>
      <c r="R17" s="7"/>
      <c r="S17" s="9"/>
      <c r="T17" s="9"/>
      <c r="U17" s="9"/>
      <c r="V17" s="9"/>
      <c r="W17" s="10"/>
    </row>
    <row r="18" spans="1:23" ht="23.45" customHeight="1" x14ac:dyDescent="0.15">
      <c r="A18" s="36">
        <v>8</v>
      </c>
      <c r="B18" s="17" t="s">
        <v>144</v>
      </c>
      <c r="C18" s="18"/>
      <c r="D18" s="18"/>
      <c r="E18" s="26"/>
      <c r="F18" s="27"/>
      <c r="G18" s="27"/>
      <c r="H18" s="27"/>
      <c r="I18" s="18"/>
      <c r="J18" s="18"/>
      <c r="K18" s="22"/>
      <c r="L18" s="18"/>
      <c r="M18" s="7"/>
      <c r="N18" s="9"/>
      <c r="O18" s="9"/>
      <c r="P18" s="9"/>
      <c r="Q18" s="8"/>
      <c r="R18" s="7"/>
      <c r="S18" s="9"/>
      <c r="T18" s="9"/>
      <c r="U18" s="9"/>
      <c r="V18" s="9"/>
      <c r="W18" s="10"/>
    </row>
    <row r="19" spans="1:23" ht="23.45" customHeight="1" x14ac:dyDescent="0.15">
      <c r="A19" s="36">
        <v>9</v>
      </c>
      <c r="B19" s="17" t="s">
        <v>144</v>
      </c>
      <c r="C19" s="18"/>
      <c r="D19" s="18"/>
      <c r="E19" s="26"/>
      <c r="F19" s="27"/>
      <c r="G19" s="27"/>
      <c r="H19" s="27"/>
      <c r="I19" s="18"/>
      <c r="J19" s="18"/>
      <c r="K19" s="22"/>
      <c r="L19" s="18"/>
      <c r="M19" s="7"/>
      <c r="N19" s="9"/>
      <c r="O19" s="9"/>
      <c r="P19" s="9"/>
      <c r="Q19" s="8"/>
      <c r="R19" s="7"/>
      <c r="S19" s="9"/>
      <c r="T19" s="9"/>
      <c r="U19" s="9"/>
      <c r="V19" s="9"/>
      <c r="W19" s="10"/>
    </row>
    <row r="20" spans="1:23" ht="23.45" customHeight="1" x14ac:dyDescent="0.15">
      <c r="A20" s="37">
        <v>10</v>
      </c>
      <c r="B20" s="17" t="s">
        <v>144</v>
      </c>
      <c r="C20" s="18"/>
      <c r="D20" s="18"/>
      <c r="E20" s="26"/>
      <c r="F20" s="27"/>
      <c r="G20" s="27"/>
      <c r="H20" s="27"/>
      <c r="I20" s="18"/>
      <c r="J20" s="18"/>
      <c r="K20" s="22"/>
      <c r="L20" s="18"/>
      <c r="M20" s="7"/>
      <c r="N20" s="9"/>
      <c r="O20" s="9"/>
      <c r="P20" s="9"/>
      <c r="Q20" s="8"/>
      <c r="R20" s="7"/>
      <c r="S20" s="9"/>
      <c r="T20" s="9"/>
      <c r="U20" s="9"/>
      <c r="V20" s="9"/>
      <c r="W20" s="10"/>
    </row>
    <row r="21" spans="1:23" ht="23.45" customHeight="1" x14ac:dyDescent="0.15">
      <c r="A21" s="37">
        <v>11</v>
      </c>
      <c r="B21" s="17" t="s">
        <v>144</v>
      </c>
      <c r="C21" s="18"/>
      <c r="D21" s="18"/>
      <c r="E21" s="26"/>
      <c r="F21" s="27"/>
      <c r="G21" s="27"/>
      <c r="H21" s="27"/>
      <c r="I21" s="18"/>
      <c r="J21" s="18"/>
      <c r="K21" s="22"/>
      <c r="L21" s="18"/>
      <c r="M21" s="7"/>
      <c r="N21" s="9"/>
      <c r="O21" s="9"/>
      <c r="P21" s="9"/>
      <c r="Q21" s="8"/>
      <c r="R21" s="7"/>
      <c r="S21" s="9"/>
      <c r="T21" s="9"/>
      <c r="U21" s="9"/>
      <c r="V21" s="9"/>
      <c r="W21" s="10"/>
    </row>
    <row r="22" spans="1:23" ht="23.45" customHeight="1" x14ac:dyDescent="0.15">
      <c r="A22" s="36">
        <v>12</v>
      </c>
      <c r="B22" s="17" t="s">
        <v>144</v>
      </c>
      <c r="C22" s="18"/>
      <c r="D22" s="18"/>
      <c r="E22" s="26"/>
      <c r="F22" s="27"/>
      <c r="G22" s="27"/>
      <c r="H22" s="27"/>
      <c r="I22" s="18"/>
      <c r="J22" s="18"/>
      <c r="K22" s="22"/>
      <c r="L22" s="18"/>
      <c r="M22" s="7"/>
      <c r="N22" s="9"/>
      <c r="O22" s="9"/>
      <c r="P22" s="9"/>
      <c r="Q22" s="8"/>
      <c r="R22" s="7"/>
      <c r="S22" s="9"/>
      <c r="T22" s="9"/>
      <c r="U22" s="9"/>
      <c r="V22" s="9"/>
      <c r="W22" s="10"/>
    </row>
    <row r="23" spans="1:23" ht="23.45" customHeight="1" x14ac:dyDescent="0.15">
      <c r="A23" s="36">
        <v>13</v>
      </c>
      <c r="B23" s="17" t="s">
        <v>144</v>
      </c>
      <c r="C23" s="18"/>
      <c r="D23" s="18"/>
      <c r="E23" s="26"/>
      <c r="F23" s="27"/>
      <c r="G23" s="27"/>
      <c r="H23" s="27"/>
      <c r="I23" s="18"/>
      <c r="J23" s="18"/>
      <c r="K23" s="22"/>
      <c r="L23" s="18"/>
      <c r="M23" s="7"/>
      <c r="N23" s="9"/>
      <c r="O23" s="9"/>
      <c r="P23" s="9"/>
      <c r="Q23" s="8"/>
      <c r="R23" s="7"/>
      <c r="S23" s="9"/>
      <c r="T23" s="9"/>
      <c r="U23" s="9"/>
      <c r="V23" s="9"/>
      <c r="W23" s="10"/>
    </row>
    <row r="24" spans="1:23" ht="23.45" customHeight="1" x14ac:dyDescent="0.15">
      <c r="A24" s="36">
        <v>14</v>
      </c>
      <c r="B24" s="17" t="s">
        <v>144</v>
      </c>
      <c r="C24" s="18"/>
      <c r="D24" s="18"/>
      <c r="E24" s="26"/>
      <c r="F24" s="27"/>
      <c r="G24" s="27"/>
      <c r="H24" s="27"/>
      <c r="I24" s="18"/>
      <c r="J24" s="18"/>
      <c r="K24" s="22"/>
      <c r="L24" s="18"/>
      <c r="M24" s="7"/>
      <c r="N24" s="9"/>
      <c r="O24" s="9"/>
      <c r="P24" s="9"/>
      <c r="Q24" s="8"/>
      <c r="R24" s="7"/>
      <c r="S24" s="9"/>
      <c r="T24" s="9"/>
      <c r="U24" s="9"/>
      <c r="V24" s="9"/>
      <c r="W24" s="10"/>
    </row>
    <row r="25" spans="1:23" ht="23.45" customHeight="1" x14ac:dyDescent="0.15">
      <c r="A25" s="36">
        <v>15</v>
      </c>
      <c r="B25" s="17" t="s">
        <v>144</v>
      </c>
      <c r="C25" s="18"/>
      <c r="D25" s="18"/>
      <c r="E25" s="26"/>
      <c r="F25" s="27"/>
      <c r="G25" s="27"/>
      <c r="H25" s="27"/>
      <c r="I25" s="18"/>
      <c r="J25" s="18"/>
      <c r="K25" s="22"/>
      <c r="L25" s="18"/>
      <c r="M25" s="7"/>
      <c r="N25" s="9"/>
      <c r="O25" s="9"/>
      <c r="P25" s="9"/>
      <c r="Q25" s="8"/>
      <c r="R25" s="7"/>
      <c r="S25" s="9"/>
      <c r="T25" s="9"/>
      <c r="U25" s="9"/>
      <c r="V25" s="9"/>
      <c r="W25" s="10"/>
    </row>
    <row r="26" spans="1:23" ht="23.45" customHeight="1" x14ac:dyDescent="0.15">
      <c r="A26" s="36">
        <v>16</v>
      </c>
      <c r="B26" s="17" t="s">
        <v>144</v>
      </c>
      <c r="C26" s="18"/>
      <c r="D26" s="18"/>
      <c r="E26" s="26"/>
      <c r="F26" s="27"/>
      <c r="G26" s="27"/>
      <c r="H26" s="27"/>
      <c r="I26" s="18"/>
      <c r="J26" s="18"/>
      <c r="K26" s="22"/>
      <c r="L26" s="18"/>
      <c r="M26" s="7"/>
      <c r="N26" s="9"/>
      <c r="O26" s="9"/>
      <c r="P26" s="9"/>
      <c r="Q26" s="8"/>
      <c r="R26" s="7"/>
      <c r="S26" s="9"/>
      <c r="T26" s="9"/>
      <c r="U26" s="9"/>
      <c r="V26" s="9"/>
      <c r="W26" s="10"/>
    </row>
    <row r="27" spans="1:23" ht="23.45" customHeight="1" x14ac:dyDescent="0.15">
      <c r="A27" s="36">
        <v>17</v>
      </c>
      <c r="B27" s="17" t="s">
        <v>144</v>
      </c>
      <c r="C27" s="18"/>
      <c r="D27" s="18"/>
      <c r="E27" s="26"/>
      <c r="F27" s="27"/>
      <c r="G27" s="27"/>
      <c r="H27" s="27"/>
      <c r="I27" s="18"/>
      <c r="J27" s="18"/>
      <c r="K27" s="22"/>
      <c r="L27" s="18"/>
      <c r="M27" s="7"/>
      <c r="N27" s="9"/>
      <c r="O27" s="9"/>
      <c r="P27" s="9"/>
      <c r="Q27" s="8"/>
      <c r="R27" s="7"/>
      <c r="S27" s="9"/>
      <c r="T27" s="9"/>
      <c r="U27" s="9"/>
      <c r="V27" s="9"/>
      <c r="W27" s="10"/>
    </row>
    <row r="28" spans="1:23" ht="23.45" customHeight="1" x14ac:dyDescent="0.15">
      <c r="A28" s="36">
        <v>18</v>
      </c>
      <c r="B28" s="17" t="s">
        <v>144</v>
      </c>
      <c r="C28" s="18"/>
      <c r="D28" s="18"/>
      <c r="E28" s="26"/>
      <c r="F28" s="27"/>
      <c r="G28" s="27"/>
      <c r="H28" s="27"/>
      <c r="I28" s="18"/>
      <c r="J28" s="18"/>
      <c r="K28" s="22"/>
      <c r="L28" s="18"/>
      <c r="M28" s="7"/>
      <c r="N28" s="9"/>
      <c r="O28" s="9"/>
      <c r="P28" s="9"/>
      <c r="Q28" s="8"/>
      <c r="R28" s="7"/>
      <c r="S28" s="9"/>
      <c r="T28" s="9"/>
      <c r="U28" s="9"/>
      <c r="V28" s="9"/>
      <c r="W28" s="10"/>
    </row>
    <row r="29" spans="1:23" ht="23.45" customHeight="1" x14ac:dyDescent="0.15">
      <c r="A29" s="36">
        <v>19</v>
      </c>
      <c r="B29" s="17" t="s">
        <v>144</v>
      </c>
      <c r="C29" s="18"/>
      <c r="D29" s="18"/>
      <c r="E29" s="26"/>
      <c r="F29" s="27"/>
      <c r="G29" s="27"/>
      <c r="H29" s="27"/>
      <c r="I29" s="18"/>
      <c r="J29" s="18"/>
      <c r="K29" s="22"/>
      <c r="L29" s="18"/>
      <c r="M29" s="7"/>
      <c r="N29" s="9"/>
      <c r="O29" s="9"/>
      <c r="P29" s="9"/>
      <c r="Q29" s="8"/>
      <c r="R29" s="7"/>
      <c r="S29" s="9"/>
      <c r="T29" s="9"/>
      <c r="U29" s="9"/>
      <c r="V29" s="9"/>
      <c r="W29" s="10"/>
    </row>
    <row r="30" spans="1:23" ht="23.45" customHeight="1" x14ac:dyDescent="0.15">
      <c r="A30" s="37">
        <v>20</v>
      </c>
      <c r="B30" s="17" t="s">
        <v>144</v>
      </c>
      <c r="C30" s="18"/>
      <c r="D30" s="18"/>
      <c r="E30" s="26"/>
      <c r="F30" s="27"/>
      <c r="G30" s="27"/>
      <c r="H30" s="27"/>
      <c r="I30" s="18"/>
      <c r="J30" s="18"/>
      <c r="K30" s="22"/>
      <c r="L30" s="18"/>
      <c r="M30" s="7"/>
      <c r="N30" s="9"/>
      <c r="O30" s="9"/>
      <c r="P30" s="9"/>
      <c r="Q30" s="8"/>
      <c r="R30" s="7"/>
      <c r="S30" s="9"/>
      <c r="T30" s="9"/>
      <c r="U30" s="9"/>
      <c r="V30" s="9"/>
      <c r="W30" s="10"/>
    </row>
    <row r="31" spans="1:23" ht="23.45" customHeight="1" x14ac:dyDescent="0.15">
      <c r="A31" s="37">
        <v>21</v>
      </c>
      <c r="B31" s="17" t="s">
        <v>144</v>
      </c>
      <c r="C31" s="18"/>
      <c r="D31" s="18"/>
      <c r="E31" s="26"/>
      <c r="F31" s="27"/>
      <c r="G31" s="27"/>
      <c r="H31" s="27"/>
      <c r="I31" s="18"/>
      <c r="J31" s="18"/>
      <c r="K31" s="22"/>
      <c r="L31" s="18"/>
      <c r="M31" s="7"/>
      <c r="N31" s="9"/>
      <c r="O31" s="9"/>
      <c r="P31" s="9"/>
      <c r="Q31" s="8"/>
      <c r="R31" s="7"/>
      <c r="S31" s="9"/>
      <c r="T31" s="9"/>
      <c r="U31" s="9"/>
      <c r="V31" s="9"/>
      <c r="W31" s="10"/>
    </row>
    <row r="32" spans="1:23" ht="23.45" customHeight="1" x14ac:dyDescent="0.15">
      <c r="A32" s="37">
        <v>22</v>
      </c>
      <c r="B32" s="17" t="s">
        <v>144</v>
      </c>
      <c r="C32" s="18"/>
      <c r="D32" s="18"/>
      <c r="E32" s="26"/>
      <c r="F32" s="27"/>
      <c r="G32" s="27"/>
      <c r="H32" s="27"/>
      <c r="I32" s="18"/>
      <c r="J32" s="18"/>
      <c r="K32" s="22"/>
      <c r="L32" s="18"/>
      <c r="M32" s="7"/>
      <c r="N32" s="9"/>
      <c r="O32" s="9"/>
      <c r="P32" s="9"/>
      <c r="Q32" s="8"/>
      <c r="R32" s="7"/>
      <c r="S32" s="9"/>
      <c r="T32" s="9"/>
      <c r="U32" s="9"/>
      <c r="V32" s="9"/>
      <c r="W32" s="10"/>
    </row>
    <row r="33" spans="1:89" ht="23.45" customHeight="1" x14ac:dyDescent="0.15">
      <c r="A33" s="37">
        <v>23</v>
      </c>
      <c r="B33" s="17" t="s">
        <v>144</v>
      </c>
      <c r="C33" s="18"/>
      <c r="D33" s="18"/>
      <c r="E33" s="26"/>
      <c r="F33" s="27"/>
      <c r="G33" s="27"/>
      <c r="H33" s="27"/>
      <c r="I33" s="18"/>
      <c r="J33" s="18"/>
      <c r="K33" s="22"/>
      <c r="L33" s="18"/>
      <c r="M33" s="7"/>
      <c r="N33" s="9"/>
      <c r="O33" s="9"/>
      <c r="P33" s="9"/>
      <c r="Q33" s="8"/>
      <c r="R33" s="7"/>
      <c r="S33" s="9"/>
      <c r="T33" s="9"/>
      <c r="U33" s="9"/>
      <c r="V33" s="9"/>
      <c r="W33" s="10"/>
    </row>
    <row r="34" spans="1:89" ht="23.45" customHeight="1" x14ac:dyDescent="0.15">
      <c r="A34" s="37">
        <v>24</v>
      </c>
      <c r="B34" s="17" t="s">
        <v>144</v>
      </c>
      <c r="C34" s="18"/>
      <c r="D34" s="18"/>
      <c r="E34" s="26"/>
      <c r="F34" s="27"/>
      <c r="G34" s="27"/>
      <c r="H34" s="27"/>
      <c r="I34" s="18"/>
      <c r="J34" s="18"/>
      <c r="K34" s="22"/>
      <c r="L34" s="18"/>
      <c r="M34" s="7"/>
      <c r="N34" s="9"/>
      <c r="O34" s="9"/>
      <c r="P34" s="9"/>
      <c r="Q34" s="8"/>
      <c r="R34" s="7"/>
      <c r="S34" s="9"/>
      <c r="T34" s="9"/>
      <c r="U34" s="9"/>
      <c r="V34" s="9"/>
      <c r="W34" s="10"/>
    </row>
    <row r="35" spans="1:89" ht="23.45" customHeight="1" x14ac:dyDescent="0.15">
      <c r="A35" s="37">
        <v>25</v>
      </c>
      <c r="B35" s="17" t="s">
        <v>144</v>
      </c>
      <c r="C35" s="18"/>
      <c r="D35" s="18"/>
      <c r="E35" s="26"/>
      <c r="F35" s="27"/>
      <c r="G35" s="27"/>
      <c r="H35" s="27"/>
      <c r="I35" s="18"/>
      <c r="J35" s="18"/>
      <c r="K35" s="22"/>
      <c r="L35" s="18"/>
      <c r="M35" s="7"/>
      <c r="N35" s="9"/>
      <c r="O35" s="9"/>
      <c r="P35" s="9"/>
      <c r="Q35" s="8"/>
      <c r="R35" s="7"/>
      <c r="S35" s="9"/>
      <c r="T35" s="9"/>
      <c r="U35" s="9"/>
      <c r="V35" s="9"/>
      <c r="W35" s="10"/>
    </row>
    <row r="36" spans="1:89" ht="23.45" customHeight="1" x14ac:dyDescent="0.15">
      <c r="A36" s="37">
        <v>26</v>
      </c>
      <c r="B36" s="17" t="s">
        <v>144</v>
      </c>
      <c r="C36" s="18"/>
      <c r="D36" s="18"/>
      <c r="E36" s="26"/>
      <c r="F36" s="27"/>
      <c r="G36" s="27"/>
      <c r="H36" s="27"/>
      <c r="I36" s="18"/>
      <c r="J36" s="18"/>
      <c r="K36" s="22"/>
      <c r="L36" s="18"/>
      <c r="M36" s="7"/>
      <c r="N36" s="9"/>
      <c r="O36" s="9"/>
      <c r="P36" s="9"/>
      <c r="Q36" s="8"/>
      <c r="R36" s="7"/>
      <c r="S36" s="9"/>
      <c r="T36" s="9"/>
      <c r="U36" s="9"/>
      <c r="V36" s="9"/>
      <c r="W36" s="10"/>
    </row>
    <row r="37" spans="1:89" ht="23.45" customHeight="1" x14ac:dyDescent="0.15">
      <c r="A37" s="37">
        <v>27</v>
      </c>
      <c r="B37" s="17" t="s">
        <v>144</v>
      </c>
      <c r="C37" s="18"/>
      <c r="D37" s="18"/>
      <c r="E37" s="26"/>
      <c r="F37" s="27"/>
      <c r="G37" s="27"/>
      <c r="H37" s="27"/>
      <c r="I37" s="18"/>
      <c r="J37" s="18"/>
      <c r="K37" s="22"/>
      <c r="L37" s="18"/>
      <c r="M37" s="7"/>
      <c r="N37" s="9"/>
      <c r="O37" s="9"/>
      <c r="P37" s="9"/>
      <c r="Q37" s="8"/>
      <c r="R37" s="7"/>
      <c r="S37" s="9"/>
      <c r="T37" s="9"/>
      <c r="U37" s="9"/>
      <c r="V37" s="9"/>
      <c r="W37" s="10"/>
    </row>
    <row r="38" spans="1:89" ht="23.45" customHeight="1" x14ac:dyDescent="0.15">
      <c r="A38" s="37">
        <v>28</v>
      </c>
      <c r="B38" s="17" t="s">
        <v>144</v>
      </c>
      <c r="C38" s="18"/>
      <c r="D38" s="18"/>
      <c r="E38" s="26"/>
      <c r="F38" s="27"/>
      <c r="G38" s="27"/>
      <c r="H38" s="27"/>
      <c r="I38" s="18"/>
      <c r="J38" s="18"/>
      <c r="K38" s="22"/>
      <c r="L38" s="18"/>
      <c r="M38" s="7"/>
      <c r="N38" s="9"/>
      <c r="O38" s="9"/>
      <c r="P38" s="9"/>
      <c r="Q38" s="8"/>
      <c r="R38" s="7"/>
      <c r="S38" s="9"/>
      <c r="T38" s="9"/>
      <c r="U38" s="9"/>
      <c r="V38" s="9"/>
      <c r="W38" s="10"/>
    </row>
    <row r="39" spans="1:89" ht="23.45" customHeight="1" x14ac:dyDescent="0.15">
      <c r="A39" s="37">
        <v>29</v>
      </c>
      <c r="B39" s="17" t="s">
        <v>144</v>
      </c>
      <c r="C39" s="18"/>
      <c r="D39" s="18"/>
      <c r="E39" s="26"/>
      <c r="F39" s="27"/>
      <c r="G39" s="27"/>
      <c r="H39" s="27"/>
      <c r="I39" s="18"/>
      <c r="J39" s="18"/>
      <c r="K39" s="22"/>
      <c r="L39" s="18"/>
      <c r="M39" s="7"/>
      <c r="N39" s="9"/>
      <c r="O39" s="9"/>
      <c r="P39" s="9"/>
      <c r="Q39" s="8"/>
      <c r="R39" s="7"/>
      <c r="S39" s="9"/>
      <c r="T39" s="9"/>
      <c r="U39" s="9"/>
      <c r="V39" s="9"/>
      <c r="W39" s="10"/>
    </row>
    <row r="40" spans="1:89" ht="23.45" customHeight="1" thickBot="1" x14ac:dyDescent="0.2">
      <c r="A40" s="38">
        <v>30</v>
      </c>
      <c r="B40" s="19" t="s">
        <v>144</v>
      </c>
      <c r="C40" s="72"/>
      <c r="D40" s="20"/>
      <c r="E40" s="28"/>
      <c r="F40" s="29"/>
      <c r="G40" s="29"/>
      <c r="H40" s="29"/>
      <c r="I40" s="20"/>
      <c r="J40" s="20"/>
      <c r="K40" s="23"/>
      <c r="L40" s="20"/>
      <c r="M40" s="11"/>
      <c r="N40" s="13"/>
      <c r="O40" s="13"/>
      <c r="P40" s="13"/>
      <c r="Q40" s="12"/>
      <c r="R40" s="11"/>
      <c r="S40" s="13"/>
      <c r="T40" s="13"/>
      <c r="U40" s="13"/>
      <c r="V40" s="13"/>
      <c r="W40" s="14"/>
    </row>
    <row r="43" spans="1:89" x14ac:dyDescent="0.15">
      <c r="AH43" s="125" t="s">
        <v>120</v>
      </c>
      <c r="AI43" s="125"/>
      <c r="AJ43" s="125"/>
      <c r="AK43" s="125"/>
    </row>
    <row r="44" spans="1:89" x14ac:dyDescent="0.15">
      <c r="AH44" s="126"/>
      <c r="AI44" s="126"/>
      <c r="AJ44" s="126"/>
      <c r="AK44" s="126"/>
      <c r="AL44" s="50"/>
      <c r="AM44" s="50"/>
      <c r="AN44" s="50"/>
      <c r="AO44" s="51"/>
      <c r="AP44" s="50"/>
      <c r="AQ44" s="50"/>
      <c r="AR44" s="50"/>
      <c r="AS44" s="50"/>
      <c r="AT44" s="50"/>
      <c r="AU44" s="51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1"/>
      <c r="BR44" s="50"/>
      <c r="BS44" s="50"/>
      <c r="BT44" s="50"/>
      <c r="BU44" s="50"/>
      <c r="BV44" s="50"/>
      <c r="BW44" s="50"/>
      <c r="BX44" s="50"/>
      <c r="BY44" s="50"/>
      <c r="BZ44" s="50"/>
      <c r="CA44" s="50"/>
      <c r="CB44" s="50"/>
      <c r="CC44" s="50"/>
      <c r="CD44" s="50"/>
      <c r="CE44" s="50"/>
      <c r="CF44" s="50"/>
      <c r="CG44" s="50"/>
      <c r="CH44" s="51"/>
      <c r="CI44" s="50"/>
      <c r="CJ44" s="50"/>
      <c r="CK44" s="50"/>
    </row>
    <row r="45" spans="1:89" x14ac:dyDescent="0.15">
      <c r="AH45" s="46"/>
      <c r="AI45" s="112" t="s">
        <v>58</v>
      </c>
      <c r="AJ45" s="112" t="s">
        <v>59</v>
      </c>
      <c r="AK45" s="118" t="s">
        <v>40</v>
      </c>
      <c r="AL45" s="119"/>
      <c r="AM45" s="119"/>
      <c r="AN45" s="119"/>
      <c r="AO45" s="120"/>
      <c r="AP45" s="124" t="s">
        <v>41</v>
      </c>
      <c r="AQ45" s="120"/>
      <c r="AR45" s="112" t="s">
        <v>60</v>
      </c>
      <c r="AS45" s="115" t="s">
        <v>31</v>
      </c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7"/>
      <c r="BF45" s="106" t="s">
        <v>32</v>
      </c>
      <c r="BG45" s="107"/>
      <c r="BH45" s="107"/>
      <c r="BI45" s="107"/>
      <c r="BJ45" s="107"/>
      <c r="BK45" s="107"/>
      <c r="BL45" s="107"/>
      <c r="BM45" s="107"/>
      <c r="BN45" s="108"/>
      <c r="BO45" s="106" t="s">
        <v>33</v>
      </c>
      <c r="BP45" s="107"/>
      <c r="BQ45" s="107"/>
      <c r="BR45" s="107"/>
      <c r="BS45" s="107"/>
      <c r="BT45" s="107"/>
      <c r="BU45" s="107"/>
      <c r="BV45" s="107"/>
      <c r="BW45" s="107"/>
      <c r="BX45" s="107"/>
      <c r="BY45" s="107"/>
      <c r="BZ45" s="108"/>
      <c r="CA45" s="133" t="s">
        <v>4</v>
      </c>
      <c r="CB45" s="133"/>
      <c r="CC45" s="133"/>
      <c r="CD45" s="133"/>
      <c r="CE45" s="133"/>
      <c r="CF45" s="133" t="s">
        <v>5</v>
      </c>
      <c r="CG45" s="133"/>
      <c r="CH45" s="133"/>
      <c r="CI45" s="133"/>
      <c r="CJ45" s="133"/>
      <c r="CK45" s="133"/>
    </row>
    <row r="46" spans="1:89" x14ac:dyDescent="0.15">
      <c r="AH46" s="39"/>
      <c r="AI46" s="113"/>
      <c r="AJ46" s="113"/>
      <c r="AK46" s="121"/>
      <c r="AL46" s="122"/>
      <c r="AM46" s="122"/>
      <c r="AN46" s="122"/>
      <c r="AO46" s="123"/>
      <c r="AP46" s="121"/>
      <c r="AQ46" s="123"/>
      <c r="AR46" s="113"/>
      <c r="AS46" s="115" t="s">
        <v>42</v>
      </c>
      <c r="AT46" s="116"/>
      <c r="AU46" s="116"/>
      <c r="AV46" s="116"/>
      <c r="AW46" s="116"/>
      <c r="AX46" s="116"/>
      <c r="AY46" s="117"/>
      <c r="AZ46" s="115" t="s">
        <v>43</v>
      </c>
      <c r="BA46" s="116"/>
      <c r="BB46" s="116"/>
      <c r="BC46" s="116"/>
      <c r="BD46" s="116"/>
      <c r="BE46" s="117"/>
      <c r="BF46" s="109"/>
      <c r="BG46" s="110"/>
      <c r="BH46" s="110"/>
      <c r="BI46" s="110"/>
      <c r="BJ46" s="110"/>
      <c r="BK46" s="110"/>
      <c r="BL46" s="110"/>
      <c r="BM46" s="110"/>
      <c r="BN46" s="111"/>
      <c r="BO46" s="109"/>
      <c r="BP46" s="110"/>
      <c r="BQ46" s="110"/>
      <c r="BR46" s="110"/>
      <c r="BS46" s="110"/>
      <c r="BT46" s="110"/>
      <c r="BU46" s="110"/>
      <c r="BV46" s="110"/>
      <c r="BW46" s="110"/>
      <c r="BX46" s="110"/>
      <c r="BY46" s="110"/>
      <c r="BZ46" s="111"/>
      <c r="CA46" s="133"/>
      <c r="CB46" s="133"/>
      <c r="CC46" s="133"/>
      <c r="CD46" s="133"/>
      <c r="CE46" s="133"/>
      <c r="CF46" s="133"/>
      <c r="CG46" s="133"/>
      <c r="CH46" s="133"/>
      <c r="CI46" s="133"/>
      <c r="CJ46" s="133"/>
      <c r="CK46" s="133"/>
    </row>
    <row r="47" spans="1:89" x14ac:dyDescent="0.15">
      <c r="AH47" s="40"/>
      <c r="AI47" s="114"/>
      <c r="AJ47" s="114"/>
      <c r="AK47" s="41" t="s">
        <v>44</v>
      </c>
      <c r="AL47" s="41" t="s">
        <v>45</v>
      </c>
      <c r="AM47" s="41" t="s">
        <v>46</v>
      </c>
      <c r="AN47" s="41" t="s">
        <v>47</v>
      </c>
      <c r="AO47" s="41" t="s">
        <v>48</v>
      </c>
      <c r="AP47" s="41" t="s">
        <v>44</v>
      </c>
      <c r="AQ47" s="41" t="s">
        <v>45</v>
      </c>
      <c r="AR47" s="114"/>
      <c r="AS47" s="42" t="s">
        <v>44</v>
      </c>
      <c r="AT47" s="42" t="s">
        <v>45</v>
      </c>
      <c r="AU47" s="42" t="s">
        <v>46</v>
      </c>
      <c r="AV47" s="42" t="s">
        <v>47</v>
      </c>
      <c r="AW47" s="42" t="s">
        <v>48</v>
      </c>
      <c r="AX47" s="42" t="s">
        <v>49</v>
      </c>
      <c r="AY47" s="42" t="s">
        <v>50</v>
      </c>
      <c r="AZ47" s="42" t="s">
        <v>44</v>
      </c>
      <c r="BA47" s="42" t="s">
        <v>45</v>
      </c>
      <c r="BB47" s="42" t="s">
        <v>46</v>
      </c>
      <c r="BC47" s="42" t="s">
        <v>47</v>
      </c>
      <c r="BD47" s="42" t="s">
        <v>48</v>
      </c>
      <c r="BE47" s="42" t="s">
        <v>49</v>
      </c>
      <c r="BF47" s="42" t="s">
        <v>44</v>
      </c>
      <c r="BG47" s="42" t="s">
        <v>45</v>
      </c>
      <c r="BH47" s="42" t="s">
        <v>46</v>
      </c>
      <c r="BI47" s="42" t="s">
        <v>47</v>
      </c>
      <c r="BJ47" s="42" t="s">
        <v>48</v>
      </c>
      <c r="BK47" s="42" t="s">
        <v>49</v>
      </c>
      <c r="BL47" s="42" t="s">
        <v>50</v>
      </c>
      <c r="BM47" s="42" t="s">
        <v>51</v>
      </c>
      <c r="BN47" s="42" t="s">
        <v>52</v>
      </c>
      <c r="BO47" s="43" t="s">
        <v>44</v>
      </c>
      <c r="BP47" s="42" t="s">
        <v>45</v>
      </c>
      <c r="BQ47" s="42" t="s">
        <v>46</v>
      </c>
      <c r="BR47" s="42" t="s">
        <v>47</v>
      </c>
      <c r="BS47" s="44" t="s">
        <v>48</v>
      </c>
      <c r="BT47" s="44" t="s">
        <v>49</v>
      </c>
      <c r="BU47" s="44" t="s">
        <v>50</v>
      </c>
      <c r="BV47" s="44" t="s">
        <v>51</v>
      </c>
      <c r="BW47" s="42" t="s">
        <v>52</v>
      </c>
      <c r="BX47" s="42" t="s">
        <v>53</v>
      </c>
      <c r="BY47" s="42" t="s">
        <v>54</v>
      </c>
      <c r="BZ47" s="42" t="s">
        <v>55</v>
      </c>
      <c r="CA47" s="41" t="s">
        <v>44</v>
      </c>
      <c r="CB47" s="41" t="s">
        <v>45</v>
      </c>
      <c r="CC47" s="41" t="s">
        <v>46</v>
      </c>
      <c r="CD47" s="41" t="s">
        <v>47</v>
      </c>
      <c r="CE47" s="41" t="s">
        <v>48</v>
      </c>
      <c r="CF47" s="41" t="s">
        <v>44</v>
      </c>
      <c r="CG47" s="41" t="s">
        <v>45</v>
      </c>
      <c r="CH47" s="41" t="s">
        <v>46</v>
      </c>
      <c r="CI47" s="41" t="s">
        <v>47</v>
      </c>
      <c r="CJ47" s="41" t="s">
        <v>48</v>
      </c>
      <c r="CK47" s="44" t="s">
        <v>49</v>
      </c>
    </row>
    <row r="48" spans="1:89" ht="21.75" customHeight="1" thickBot="1" x14ac:dyDescent="0.2">
      <c r="AH48" s="55" t="s">
        <v>56</v>
      </c>
      <c r="AI48" s="56" t="e">
        <f>SUM(AI49:AI55)</f>
        <v>#REF!</v>
      </c>
      <c r="AJ48" s="56">
        <f t="shared" ref="AJ48:CK48" si="0">SUM(AJ49:AJ55)</f>
        <v>30</v>
      </c>
      <c r="AK48" s="56">
        <f t="shared" si="0"/>
        <v>0</v>
      </c>
      <c r="AL48" s="56">
        <f t="shared" si="0"/>
        <v>0</v>
      </c>
      <c r="AM48" s="56">
        <f t="shared" si="0"/>
        <v>0</v>
      </c>
      <c r="AN48" s="56">
        <f t="shared" si="0"/>
        <v>0</v>
      </c>
      <c r="AO48" s="56">
        <f t="shared" si="0"/>
        <v>0</v>
      </c>
      <c r="AP48" s="56">
        <f t="shared" si="0"/>
        <v>0</v>
      </c>
      <c r="AQ48" s="56">
        <f t="shared" si="0"/>
        <v>0</v>
      </c>
      <c r="AR48" s="56" t="e">
        <f t="shared" si="0"/>
        <v>#REF!</v>
      </c>
      <c r="AS48" s="56">
        <f t="shared" si="0"/>
        <v>0</v>
      </c>
      <c r="AT48" s="56">
        <f t="shared" si="0"/>
        <v>0</v>
      </c>
      <c r="AU48" s="56">
        <f t="shared" si="0"/>
        <v>0</v>
      </c>
      <c r="AV48" s="56">
        <f t="shared" si="0"/>
        <v>0</v>
      </c>
      <c r="AW48" s="56">
        <f t="shared" si="0"/>
        <v>0</v>
      </c>
      <c r="AX48" s="56">
        <f t="shared" si="0"/>
        <v>0</v>
      </c>
      <c r="AY48" s="56">
        <f t="shared" si="0"/>
        <v>0</v>
      </c>
      <c r="AZ48" s="56">
        <f t="shared" si="0"/>
        <v>0</v>
      </c>
      <c r="BA48" s="56">
        <f t="shared" si="0"/>
        <v>0</v>
      </c>
      <c r="BB48" s="56">
        <f t="shared" si="0"/>
        <v>0</v>
      </c>
      <c r="BC48" s="56">
        <f t="shared" si="0"/>
        <v>0</v>
      </c>
      <c r="BD48" s="56">
        <f t="shared" si="0"/>
        <v>0</v>
      </c>
      <c r="BE48" s="56">
        <f t="shared" si="0"/>
        <v>0</v>
      </c>
      <c r="BF48" s="56">
        <f t="shared" si="0"/>
        <v>0</v>
      </c>
      <c r="BG48" s="56">
        <f t="shared" si="0"/>
        <v>0</v>
      </c>
      <c r="BH48" s="56">
        <f t="shared" si="0"/>
        <v>0</v>
      </c>
      <c r="BI48" s="56">
        <f t="shared" si="0"/>
        <v>0</v>
      </c>
      <c r="BJ48" s="56">
        <f t="shared" si="0"/>
        <v>0</v>
      </c>
      <c r="BK48" s="56">
        <f t="shared" si="0"/>
        <v>0</v>
      </c>
      <c r="BL48" s="56">
        <f t="shared" si="0"/>
        <v>0</v>
      </c>
      <c r="BM48" s="56">
        <f t="shared" si="0"/>
        <v>0</v>
      </c>
      <c r="BN48" s="56">
        <f t="shared" si="0"/>
        <v>0</v>
      </c>
      <c r="BO48" s="56">
        <f t="shared" si="0"/>
        <v>0</v>
      </c>
      <c r="BP48" s="56">
        <f t="shared" si="0"/>
        <v>0</v>
      </c>
      <c r="BQ48" s="56">
        <f t="shared" si="0"/>
        <v>0</v>
      </c>
      <c r="BR48" s="56">
        <f t="shared" si="0"/>
        <v>0</v>
      </c>
      <c r="BS48" s="56">
        <f t="shared" si="0"/>
        <v>0</v>
      </c>
      <c r="BT48" s="56">
        <f t="shared" si="0"/>
        <v>0</v>
      </c>
      <c r="BU48" s="56">
        <f t="shared" si="0"/>
        <v>0</v>
      </c>
      <c r="BV48" s="56">
        <f t="shared" si="0"/>
        <v>0</v>
      </c>
      <c r="BW48" s="56">
        <f t="shared" si="0"/>
        <v>0</v>
      </c>
      <c r="BX48" s="56">
        <f t="shared" si="0"/>
        <v>0</v>
      </c>
      <c r="BY48" s="56">
        <f t="shared" si="0"/>
        <v>0</v>
      </c>
      <c r="BZ48" s="56">
        <f t="shared" si="0"/>
        <v>0</v>
      </c>
      <c r="CA48" s="56">
        <f t="shared" si="0"/>
        <v>0</v>
      </c>
      <c r="CB48" s="56">
        <f t="shared" si="0"/>
        <v>0</v>
      </c>
      <c r="CC48" s="56">
        <f t="shared" si="0"/>
        <v>0</v>
      </c>
      <c r="CD48" s="56">
        <f t="shared" si="0"/>
        <v>0</v>
      </c>
      <c r="CE48" s="56">
        <f t="shared" si="0"/>
        <v>0</v>
      </c>
      <c r="CF48" s="56">
        <f t="shared" si="0"/>
        <v>0</v>
      </c>
      <c r="CG48" s="56">
        <f t="shared" si="0"/>
        <v>0</v>
      </c>
      <c r="CH48" s="56">
        <f t="shared" si="0"/>
        <v>0</v>
      </c>
      <c r="CI48" s="56">
        <f t="shared" si="0"/>
        <v>0</v>
      </c>
      <c r="CJ48" s="56">
        <f t="shared" si="0"/>
        <v>0</v>
      </c>
      <c r="CK48" s="56">
        <f t="shared" si="0"/>
        <v>0</v>
      </c>
    </row>
    <row r="49" spans="34:89" ht="21.75" customHeight="1" thickTop="1" x14ac:dyDescent="0.15">
      <c r="AH49" s="57" t="s">
        <v>126</v>
      </c>
      <c r="AI49" s="58" t="e">
        <f>INT(SUMPRODUCT(1/SUBSTITUTE(COUNTIFS(B11:B40,"ア 幼稚園",#REF!,#REF!),0,31)))</f>
        <v>#REF!</v>
      </c>
      <c r="AJ49" s="58">
        <f>COUNTIF($B$11:$B$40,"ア 幼稚園")</f>
        <v>30</v>
      </c>
      <c r="AK49" s="58">
        <f>COUNTIFS(B11:B40,"ア 幼稚園",C11:C40,"ア ２０歳代")</f>
        <v>0</v>
      </c>
      <c r="AL49" s="58">
        <f>COUNTIFS(B11:B40,"ア 幼稚園",C11:C40,"イ ３０歳代")</f>
        <v>0</v>
      </c>
      <c r="AM49" s="58">
        <f>COUNTIFS(B11:B40,"ア 幼稚園",C11:C40,"ウ ４０歳代")</f>
        <v>0</v>
      </c>
      <c r="AN49" s="58">
        <f>COUNTIFS(B11:B40,"ア 幼稚園",C11:C40,"エ ５０歳代")</f>
        <v>0</v>
      </c>
      <c r="AO49" s="58">
        <f>COUNTIFS(B11:B40,"ア 幼稚園",C11:C40,"オ ６０歳代以上")</f>
        <v>0</v>
      </c>
      <c r="AP49" s="58">
        <f>COUNTIFS($B$11:$B$40,"ア 幼稚園",$D$11:$D$40,"ア 男性")</f>
        <v>0</v>
      </c>
      <c r="AQ49" s="58">
        <f>COUNTIFS($B$11:$B$40,"ア 幼稚園",$D$11:$D$40,"イ 女性")</f>
        <v>0</v>
      </c>
      <c r="AR49" s="58">
        <f>SUM(E11:H40)</f>
        <v>0</v>
      </c>
      <c r="AS49" s="58">
        <f>COUNTIFS($B$11:$B$40,"ア 幼稚園",$I$11:$I$40,"ア 授業中・保育中")</f>
        <v>0</v>
      </c>
      <c r="AT49" s="58">
        <f>COUNTIFS($B$11:$B$40,"ア 幼稚園",$I$11:$I$40,"イ 放課後")</f>
        <v>0</v>
      </c>
      <c r="AU49" s="58">
        <f>COUNTIFS($B$11:$B$40,"ア 幼稚園",$I$11:$I$40,"ウ 休み時間")</f>
        <v>0</v>
      </c>
      <c r="AV49" s="58">
        <f>COUNTIFS($B$11:$B$40,"ア 幼稚園",$I$11:$I$40,"エ 部活動")</f>
        <v>0</v>
      </c>
      <c r="AW49" s="58">
        <f>COUNTIFS($B$11:$B$40,"ア 幼稚園",$I$11:$I$40,"オ 学校行事")</f>
        <v>0</v>
      </c>
      <c r="AX49" s="58">
        <f>COUNTIFS($B$11:$B$40,"ア 幼稚園",$I$11:$I$40,"カ ホームルーム")</f>
        <v>0</v>
      </c>
      <c r="AY49" s="58">
        <f>COUNTIFS($B$11:$B$40,"ア 幼稚園",$I$11:$I$40,"キ その他")</f>
        <v>0</v>
      </c>
      <c r="AZ49" s="58">
        <f>COUNTIFS($B$11:$B$40,"ア 幼稚園",$J$11:$J$40,"ア 教室・保育室")</f>
        <v>0</v>
      </c>
      <c r="BA49" s="58">
        <f>COUNTIFS($B$11:$B$40,"ア 幼稚園",$J$11:$J$40,"イ 職員室")</f>
        <v>0</v>
      </c>
      <c r="BB49" s="58">
        <f>COUNTIFS($B$11:$B$40,"ア 幼稚園",$J$11:$J$40,"ウ 運動場・園庭、体育館・遊戯室")</f>
        <v>0</v>
      </c>
      <c r="BC49" s="58">
        <f>COUNTIFS($B$11:$B$40,"ア 幼稚園",$J$11:$J$40,"エ 生徒指導室")</f>
        <v>0</v>
      </c>
      <c r="BD49" s="58">
        <f>COUNTIFS($B$11:$B$40,"ア 幼稚園",$J$11:$J$40,"オ 廊下、階段")</f>
        <v>0</v>
      </c>
      <c r="BE49" s="58">
        <f>COUNTIFS($B$11:$B$40,"ア 幼稚園",$J$11:$J$40,"カ その他")</f>
        <v>0</v>
      </c>
      <c r="BF49" s="58">
        <f>COUNTIFS($B$11:$B$40,"ア 幼稚園",$K$11:$K$40,"ア 素手で殴る・叩く")</f>
        <v>0</v>
      </c>
      <c r="BG49" s="58">
        <f>COUNTIFS($B$11:$B$40,"ア 幼稚園",$K$11:$K$40,"イ 棒などで殴る・叩く")</f>
        <v>0</v>
      </c>
      <c r="BH49" s="58">
        <f>COUNTIFS($B$11:$B$40,"ア 幼稚園",$K$11:$K$40,"ウ 蹴る・踏みつける")</f>
        <v>0</v>
      </c>
      <c r="BI49" s="58">
        <f>COUNTIFS($B$11:$B$40,"ア 幼稚園",$K$11:$K$40,"エ 投げる・突き飛ばす・転倒させる")</f>
        <v>0</v>
      </c>
      <c r="BJ49" s="58">
        <f>COUNTIFS($B$11:$B$40,"ア 幼稚園",$K$11:$K$40,"オ つねる・ひっかく")</f>
        <v>0</v>
      </c>
      <c r="BK49" s="58">
        <f>COUNTIFS($B$11:$B$40,"ア 幼稚園",$K$11:$K$40,"カ 物をぶつける・投げつける")</f>
        <v>0</v>
      </c>
      <c r="BL49" s="58">
        <f>COUNTIFS($B$11:$B$40,"ア 幼稚園",$K$11:$K$40,"キ 長時間教室等に留め置く")</f>
        <v>0</v>
      </c>
      <c r="BM49" s="58">
        <f>COUNTIFS($B$11:$B$40,"ア 幼稚園",$K$11:$K$40,"ク 長時間正座など一定の姿勢を保持させる")</f>
        <v>0</v>
      </c>
      <c r="BN49" s="58">
        <f>COUNTIFS($B$11:$B$40,"ア 幼稚園",$K$11:$K$40,"ケ その他")</f>
        <v>0</v>
      </c>
      <c r="BO49" s="58">
        <f>COUNTIFS($B$11:$B$40,"ア 幼稚園",$L$11:$L$40,"ア 死亡")</f>
        <v>0</v>
      </c>
      <c r="BP49" s="58">
        <f>COUNTIFS($B$11:$B$40,"ア 幼稚園",$L$11:$L$40,"イ 骨折・挫折など")</f>
        <v>0</v>
      </c>
      <c r="BQ49" s="58">
        <f>COUNTIFS($B$11:$B$40,"ア 幼稚園",$L$11:$L$40,"ウ 鼓膜損傷")</f>
        <v>0</v>
      </c>
      <c r="BR49" s="58">
        <f>COUNTIFS($B$11:$B$40,"ア 幼稚園",$L$11:$L$40,"エ 外傷")</f>
        <v>0</v>
      </c>
      <c r="BS49" s="58">
        <f>COUNTIFS($B$11:$B$40,"ア 幼稚園",$L$11:$L$40,"オ 打撲（頭）")</f>
        <v>0</v>
      </c>
      <c r="BT49" s="58">
        <f>COUNTIFS($B$11:$B$40,"ア 幼稚園",$L$11:$L$40,"カ 打撲（顔）")</f>
        <v>0</v>
      </c>
      <c r="BU49" s="58">
        <f>COUNTIFS($B$11:$B$40,"ア 幼稚園",$L$11:$L$40,"キ 打撲（足）")</f>
        <v>0</v>
      </c>
      <c r="BV49" s="58">
        <f>COUNTIFS($B$11:$B$40,"ア 幼稚園",$L$11:$L$40,"ク 打撲（オ～キ以外）")</f>
        <v>0</v>
      </c>
      <c r="BW49" s="58">
        <f>COUNTIFS($B$11:$B$40,"ア 幼稚園",$L$11:$L$40,"ケ 鼻血")</f>
        <v>0</v>
      </c>
      <c r="BX49" s="58">
        <f>COUNTIFS($B$11:$B$40,"ア 幼稚園",$L$11:$L$40,"コ 髪を切られる")</f>
        <v>0</v>
      </c>
      <c r="BY49" s="58">
        <f>COUNTIFS($B$11:$B$40,"ア 幼稚園",$L$11:$L$40,"サ その他")</f>
        <v>0</v>
      </c>
      <c r="BZ49" s="58">
        <f>COUNTIFS($B$11:$B$40,"ア 幼稚園",$L$11:$L$40,"シ 傷害なし")</f>
        <v>0</v>
      </c>
      <c r="CA49" s="58">
        <f>COUNTIFS($B$11:$B$40,"ア 幼稚園",$M$11:$M$40,1)</f>
        <v>0</v>
      </c>
      <c r="CB49" s="58">
        <f>COUNTIFS($B$11:$B$40,"ア 幼稚園",$N$11:$N$40,1)</f>
        <v>0</v>
      </c>
      <c r="CC49" s="58">
        <f>COUNTIFS($B$11:$B$40,"ア 幼稚園",$O$11:$O$40,1)</f>
        <v>0</v>
      </c>
      <c r="CD49" s="58">
        <f>COUNTIFS($B$11:$B$40,"ア 幼稚園",$P$11:$P$40,1)</f>
        <v>0</v>
      </c>
      <c r="CE49" s="58">
        <f>COUNTIFS($B$11:$B$40,"ア 幼稚園",$Q$11:$Q$40,1)</f>
        <v>0</v>
      </c>
      <c r="CF49" s="58">
        <f>COUNTIFS($B$11:$B$40,"ア 幼稚園",$R$11:$R$40,1)</f>
        <v>0</v>
      </c>
      <c r="CG49" s="58">
        <f>COUNTIFS($B$11:$B$40,"ア 幼稚園",$S$11:$S$40,1)</f>
        <v>0</v>
      </c>
      <c r="CH49" s="58">
        <f>COUNTIFS($B$11:$B$40,"ア 幼稚園",$T$11:$T$40,1)</f>
        <v>0</v>
      </c>
      <c r="CI49" s="58">
        <f>COUNTIFS($B$11:$B$40,"ア 幼稚園",$U$11:$U$40,1)</f>
        <v>0</v>
      </c>
      <c r="CJ49" s="58">
        <f>COUNTIFS($B$11:$B$40,"ア 幼稚園",$V$11:$V$40,1)</f>
        <v>0</v>
      </c>
      <c r="CK49" s="58">
        <f>COUNTIFS($B$11:$B$40,"ア 幼稚園",$W$11:$W$40,1)</f>
        <v>0</v>
      </c>
    </row>
    <row r="50" spans="34:89" ht="21.75" customHeight="1" x14ac:dyDescent="0.15">
      <c r="AH50" s="45" t="s">
        <v>34</v>
      </c>
      <c r="AI50" s="47" t="e">
        <f>INT(SUMPRODUCT(1/SUBSTITUTE(COUNTIFS(B11:B40,"イ 小学校",#REF!,#REF!),0,31)))</f>
        <v>#REF!</v>
      </c>
      <c r="AJ50" s="47">
        <f>COUNTIF($B$11:$B$40,"イ 小学校")</f>
        <v>0</v>
      </c>
      <c r="AK50" s="47">
        <f>COUNTIFS(B11:B40,"イ 小学校",C11:C40,"ア ２０歳代")</f>
        <v>0</v>
      </c>
      <c r="AL50" s="47">
        <f>COUNTIFS(B11:B40,"イ 小学校",C11:C40,"イ ３０歳代")</f>
        <v>0</v>
      </c>
      <c r="AM50" s="47">
        <f>COUNTIFS(B11:B40,"イ 小学校",C11:C40,"ウ ４０歳代")</f>
        <v>0</v>
      </c>
      <c r="AN50" s="47">
        <f>COUNTIFS(B11:B40,"イ 小学校",C11:C40,"エ ５０歳代")</f>
        <v>0</v>
      </c>
      <c r="AO50" s="47">
        <f>COUNTIFS(B11:B40,"イ 小学校",C11:C40,"オ ６０歳代以上")</f>
        <v>0</v>
      </c>
      <c r="AP50" s="47">
        <f>COUNTIFS($B$11:$B$40,"イ 小学校",$D$11:$D$40,"ア 男性")</f>
        <v>0</v>
      </c>
      <c r="AQ50" s="47">
        <f>COUNTIFS($B$11:$B$40,"イ 小学校",$D$11:$D$40,"イ 女性")</f>
        <v>0</v>
      </c>
      <c r="AR50" s="47" t="e">
        <f>SUM(#REF!)</f>
        <v>#REF!</v>
      </c>
      <c r="AS50" s="48">
        <f>COUNTIFS($B$11:$B$40,"イ 小学校",$I$11:$I$40,"ア 授業中・保育中")</f>
        <v>0</v>
      </c>
      <c r="AT50" s="48">
        <f>COUNTIFS($B$11:$B$40,"イ 小学校",$I$11:$I$40,"イ 放課後")</f>
        <v>0</v>
      </c>
      <c r="AU50" s="48">
        <f>COUNTIFS($B$11:$B$40,"イ 小学校",$I$11:$I$40,"ウ 休み時間")</f>
        <v>0</v>
      </c>
      <c r="AV50" s="48">
        <f>COUNTIFS($B$11:$B$40,"イ 小学校",$I$11:$I$40,"エ 部活動")</f>
        <v>0</v>
      </c>
      <c r="AW50" s="48">
        <f>COUNTIFS($B$11:$B$40,"イ 小学校",$I$11:$I$40,"オ 学校行事")</f>
        <v>0</v>
      </c>
      <c r="AX50" s="48">
        <f>COUNTIFS($B$11:$B$40,"イ 小学校",$I$11:$I$40,"カ ホームルーム")</f>
        <v>0</v>
      </c>
      <c r="AY50" s="48">
        <f>COUNTIFS($B$11:$B$40,"イ 小学校",$I$11:$I$40,"キ その他")</f>
        <v>0</v>
      </c>
      <c r="AZ50" s="48">
        <f>COUNTIFS($B$11:$B$40,"イ 小学校",$J$11:$J$40,"ア 教室・保育室")</f>
        <v>0</v>
      </c>
      <c r="BA50" s="48">
        <f>COUNTIFS($B$11:$B$40,"イ 小学校",$J$11:$J$40,"イ 職員室")</f>
        <v>0</v>
      </c>
      <c r="BB50" s="48">
        <f>COUNTIFS($B$11:$B$40,"イ 小学校",$J$11:$J$40,"ウ 運動場・園庭、体育館・遊戯室")</f>
        <v>0</v>
      </c>
      <c r="BC50" s="48">
        <f>COUNTIFS($B$11:$B$40,"イ 小学校",$J$11:$J$40,"エ 生徒指導室")</f>
        <v>0</v>
      </c>
      <c r="BD50" s="48">
        <f>COUNTIFS($B$11:$B$40,"イ 小学校",$J$11:$J$40,"オ 廊下、階段")</f>
        <v>0</v>
      </c>
      <c r="BE50" s="48">
        <f>COUNTIFS($B$11:$B$40,"イ 小学校",$J$11:$J$40,"カ その他")</f>
        <v>0</v>
      </c>
      <c r="BF50" s="48">
        <f>COUNTIFS($B$11:$B$40,"イ 小学校",$K$11:$K$40,"ア 素手で殴る・叩く")</f>
        <v>0</v>
      </c>
      <c r="BG50" s="48">
        <f>COUNTIFS($B$11:$B$40,"イ 小学校",$K$11:$K$40,"イ 棒などで殴る・叩く")</f>
        <v>0</v>
      </c>
      <c r="BH50" s="48">
        <f>COUNTIFS($B$11:$B$40,"イ 小学校",$K$11:$K$40,"ウ 蹴る・踏みつける")</f>
        <v>0</v>
      </c>
      <c r="BI50" s="48">
        <f>COUNTIFS($B$11:$B$40,"イ 小学校",$K$11:$K$40,"エ 投げる・突き飛ばす・転倒させる")</f>
        <v>0</v>
      </c>
      <c r="BJ50" s="48">
        <f>COUNTIFS($B$11:$B$40,"イ 小学校",$K$11:$K$40,"オ つねる・ひっかく")</f>
        <v>0</v>
      </c>
      <c r="BK50" s="48">
        <f>COUNTIFS($B$11:$B$40,"イ 小学校",$K$11:$K$40,"カ 物をぶつける・投げつける")</f>
        <v>0</v>
      </c>
      <c r="BL50" s="48">
        <f>COUNTIFS($B$11:$B$40,"イ 小学校",$K$11:$K$40,"キ 長時間教室等に留め置く")</f>
        <v>0</v>
      </c>
      <c r="BM50" s="48">
        <f>COUNTIFS($B$11:$B$40,"イ 小学校",$K$11:$K$40,"ク 長時間正座など一定の姿勢を保持させる")</f>
        <v>0</v>
      </c>
      <c r="BN50" s="48">
        <f>COUNTIFS($B$11:$B$40,"イ 小学校",$K$11:$K$40,"ケ その他")</f>
        <v>0</v>
      </c>
      <c r="BO50" s="48">
        <f>COUNTIFS($B$11:$B$40,"イ 小学校",$L$11:$L$40,"ア 死亡")</f>
        <v>0</v>
      </c>
      <c r="BP50" s="48">
        <f>COUNTIFS($B$11:$B$40,"イ 小学校",$L$11:$L$40,"イ 骨折・挫折など")</f>
        <v>0</v>
      </c>
      <c r="BQ50" s="48">
        <f>COUNTIFS($B$11:$B$40,"イ 小学校",$L$11:$L$40,"ウ 鼓膜損傷")</f>
        <v>0</v>
      </c>
      <c r="BR50" s="48">
        <f>COUNTIFS($B$11:$B$40,"イ 小学校",$L$11:$L$40,"エ 外傷")</f>
        <v>0</v>
      </c>
      <c r="BS50" s="48">
        <f>COUNTIFS($B$11:$B$40,"イ 小学校",$L$11:$L$40,"オ 打撲（頭）")</f>
        <v>0</v>
      </c>
      <c r="BT50" s="48">
        <f>COUNTIFS($B$11:$B$40,"イ 小学校",$L$11:$L$40,"カ 打撲（顔）")</f>
        <v>0</v>
      </c>
      <c r="BU50" s="48">
        <f>COUNTIFS($B$11:$B$40,"イ 小学校",$L$11:$L$40,"キ 打撲（足）")</f>
        <v>0</v>
      </c>
      <c r="BV50" s="48">
        <f>COUNTIFS($B$11:$B$40,"イ 小学校",$L$11:$L$40,"ク 打撲（オ～キ以外）")</f>
        <v>0</v>
      </c>
      <c r="BW50" s="48">
        <f>COUNTIFS($B$11:$B$40,"イ 小学校",$L$11:$L$40,"ケ 鼻血")</f>
        <v>0</v>
      </c>
      <c r="BX50" s="48">
        <f>COUNTIFS($B$11:$B$40,"イ 小学校",$L$11:$L$40,"コ 髪を切られる")</f>
        <v>0</v>
      </c>
      <c r="BY50" s="48">
        <f>COUNTIFS($B$11:$B$40,"イ 小学校",$L$11:$L$40,"サ その他")</f>
        <v>0</v>
      </c>
      <c r="BZ50" s="48">
        <f>COUNTIFS($B$11:$B$40,"イ 小学校",$L$11:$L$40,"シ 傷害なし")</f>
        <v>0</v>
      </c>
      <c r="CA50" s="47">
        <f>COUNTIFS($B$11:$B$40,"イ 小学校",$M$11:$M$40,1)</f>
        <v>0</v>
      </c>
      <c r="CB50" s="47">
        <f>COUNTIFS($B$11:$B$40,"イ 小学校",$N$11:$N$40,1)</f>
        <v>0</v>
      </c>
      <c r="CC50" s="47">
        <f>COUNTIFS($B$11:$B$40,"イ 小学校",$O$11:$O$40,1)</f>
        <v>0</v>
      </c>
      <c r="CD50" s="47">
        <f>COUNTIFS($B$11:$B$40,"イ 小学校",$P$11:$P$40,1)</f>
        <v>0</v>
      </c>
      <c r="CE50" s="47">
        <f>COUNTIFS($B$11:$B$40,"イ 小学校",$Q$11:$Q$40,1)</f>
        <v>0</v>
      </c>
      <c r="CF50" s="47">
        <f>COUNTIFS($B$11:$B$40,"イ 小学校",$R$11:$R$40,1)</f>
        <v>0</v>
      </c>
      <c r="CG50" s="47">
        <f>COUNTIFS($B$11:$B$40,"イ 小学校",$S$11:$S$40,1)</f>
        <v>0</v>
      </c>
      <c r="CH50" s="47">
        <f>COUNTIFS($B$11:$B$40,"イ 小学校",$T$11:$T$40,1)</f>
        <v>0</v>
      </c>
      <c r="CI50" s="47">
        <f>COUNTIFS($B$11:$B$40,"イ 小学校",$U$11:$U$40,1)</f>
        <v>0</v>
      </c>
      <c r="CJ50" s="47">
        <f>COUNTIFS($B$11:$B$40,"イ 小学校",$V$11:$V$40,1)</f>
        <v>0</v>
      </c>
      <c r="CK50" s="47">
        <f>COUNTIFS($B$11:$B$40,"イ 小学校",$W$11:$W$40,1)</f>
        <v>0</v>
      </c>
    </row>
    <row r="51" spans="34:89" ht="21.75" customHeight="1" x14ac:dyDescent="0.15">
      <c r="AH51" s="45" t="s">
        <v>35</v>
      </c>
      <c r="AI51" s="47" t="e">
        <f>INT(SUMPRODUCT(1/SUBSTITUTE(COUNTIFS(B11:B40,"ウ 中学校",#REF!,#REF!),0,31)))</f>
        <v>#REF!</v>
      </c>
      <c r="AJ51" s="47">
        <f>COUNTIF($B$11:$B$40,"ウ 中学校")</f>
        <v>0</v>
      </c>
      <c r="AK51" s="47">
        <f>COUNTIFS(B11:B40,"ウ 中学校",C11:C40,"ア ２０歳代")</f>
        <v>0</v>
      </c>
      <c r="AL51" s="47">
        <f>COUNTIFS(B11:B40,"ウ 中学校",C11:C40,"イ ３０歳代")</f>
        <v>0</v>
      </c>
      <c r="AM51" s="47">
        <f>COUNTIFS(B11:B40,"ウ 中学校",C11:C40,"ウ ４０歳代")</f>
        <v>0</v>
      </c>
      <c r="AN51" s="47">
        <f>COUNTIFS(B11:B40,"ウ 中学校",C11:C40,"エ ５０歳代")</f>
        <v>0</v>
      </c>
      <c r="AO51" s="47">
        <f>COUNTIFS(B11:B40,"ウ 中学校",C11:C40,"オ ６０歳代以上")</f>
        <v>0</v>
      </c>
      <c r="AP51" s="47">
        <f>COUNTIFS($B$11:$B$40,"ウ 中学校",$D$11:$D$40,"ア 男性")</f>
        <v>0</v>
      </c>
      <c r="AQ51" s="47">
        <f>COUNTIFS($B$11:$B$40,"ウ 中学校",$D$11:$D$40,"イ 女性")</f>
        <v>0</v>
      </c>
      <c r="AR51" s="47" t="e">
        <f>SUM(#REF!)</f>
        <v>#REF!</v>
      </c>
      <c r="AS51" s="48">
        <f>COUNTIFS($B$11:$B$40,"ウ 中学校",$I$11:$I$40,"ア 授業中・保育中")</f>
        <v>0</v>
      </c>
      <c r="AT51" s="48">
        <f>COUNTIFS($B$11:$B$40,"ウ 中学校",$I$11:$I$40,"イ 放課後")</f>
        <v>0</v>
      </c>
      <c r="AU51" s="48">
        <f>COUNTIFS($B$11:$B$40,"ウ 中学校",$I$11:$I$40,"ウ 休み時間")</f>
        <v>0</v>
      </c>
      <c r="AV51" s="48">
        <f>COUNTIFS($B$11:$B$40,"ウ 中学校",$I$11:$I$40,"エ 部活動")</f>
        <v>0</v>
      </c>
      <c r="AW51" s="48">
        <f>COUNTIFS($B$11:$B$40,"ウ 中学校",$I$11:$I$40,"オ 学校行事")</f>
        <v>0</v>
      </c>
      <c r="AX51" s="48">
        <f>COUNTIFS($B$11:$B$40,"ウ 中学校",$I$11:$I$40,"カ ホームルーム")</f>
        <v>0</v>
      </c>
      <c r="AY51" s="48">
        <f>COUNTIFS($B$11:$B$40,"ウ 中学校",$I$11:$I$40,"キ その他")</f>
        <v>0</v>
      </c>
      <c r="AZ51" s="48">
        <f>COUNTIFS($B$11:$B$40,"ウ 中学校",$J$11:$J$40,"ア 教室・保育室")</f>
        <v>0</v>
      </c>
      <c r="BA51" s="48">
        <f>COUNTIFS($B$11:$B$40,"ウ 中学校",$J$11:$J$40,"イ 職員室")</f>
        <v>0</v>
      </c>
      <c r="BB51" s="48">
        <f>COUNTIFS($B$11:$B$40,"ウ 中学校",$J$11:$J$40,"ウ 運動場・園庭、体育館・遊戯室")</f>
        <v>0</v>
      </c>
      <c r="BC51" s="48">
        <f>COUNTIFS($B$11:$B$40,"ウ 中学校",$J$11:$J$40,"エ 生徒指導室")</f>
        <v>0</v>
      </c>
      <c r="BD51" s="48">
        <f>COUNTIFS($B$11:$B$40,"ウ 中学校",$J$11:$J$40,"オ 廊下、階段")</f>
        <v>0</v>
      </c>
      <c r="BE51" s="48">
        <f>COUNTIFS($B$11:$B$40,"ウ 中学校",$J$11:$J$40,"カ その他")</f>
        <v>0</v>
      </c>
      <c r="BF51" s="48">
        <f>COUNTIFS($B$11:$B$40,"ウ 中学校",$K$11:$K$40,"ア 素手で殴る・叩く")</f>
        <v>0</v>
      </c>
      <c r="BG51" s="48">
        <f>COUNTIFS($B$11:$B$40,"ウ 中学校",$K$11:$K$40,"イ 棒などで殴る・叩く")</f>
        <v>0</v>
      </c>
      <c r="BH51" s="48">
        <f>COUNTIFS($B$11:$B$40,"ウ 中学校",$K$11:$K$40,"ウ 蹴る・踏みつける")</f>
        <v>0</v>
      </c>
      <c r="BI51" s="48">
        <f>COUNTIFS($B$11:$B$40,"ウ 中学校",$K$11:$K$40,"エ 投げる・突き飛ばす・転倒させる")</f>
        <v>0</v>
      </c>
      <c r="BJ51" s="48">
        <f>COUNTIFS($B$11:$B$40,"ウ 中学校",$K$11:$K$40,"オ つねる・ひっかく")</f>
        <v>0</v>
      </c>
      <c r="BK51" s="48">
        <f>COUNTIFS($B$11:$B$40,"ウ 中学校",$K$11:$K$40,"カ 物をぶつける・投げつける")</f>
        <v>0</v>
      </c>
      <c r="BL51" s="48">
        <f>COUNTIFS($B$11:$B$40,"ウ 中学校",$K$11:$K$40,"キ 長時間教室等に留め置く")</f>
        <v>0</v>
      </c>
      <c r="BM51" s="48">
        <f>COUNTIFS($B$11:$B$40,"ウ 中学校",$K$11:$K$40,"ク 長時間正座など一定の姿勢を保持させる")</f>
        <v>0</v>
      </c>
      <c r="BN51" s="48">
        <f>COUNTIFS($B$11:$B$40,"ウ 中学校",$K$11:$K$40,"ケ その他")</f>
        <v>0</v>
      </c>
      <c r="BO51" s="48">
        <f>COUNTIFS($B$11:$B$40,"ウ 中学校",$L$11:$L$40,"ア 死亡")</f>
        <v>0</v>
      </c>
      <c r="BP51" s="48">
        <f>COUNTIFS($B$11:$B$40,"ウ 中学校",$L$11:$L$40,"イ 骨折・挫折など")</f>
        <v>0</v>
      </c>
      <c r="BQ51" s="48">
        <f>COUNTIFS($B$11:$B$40,"ウ 中学校",$L$11:$L$40,"ウ 鼓膜損傷")</f>
        <v>0</v>
      </c>
      <c r="BR51" s="48">
        <f>COUNTIFS($B$11:$B$40,"ウ 中学校",$L$11:$L$40,"エ 外傷")</f>
        <v>0</v>
      </c>
      <c r="BS51" s="48">
        <f>COUNTIFS($B$11:$B$40,"ウ 中学校",$L$11:$L$40,"オ 打撲（頭）")</f>
        <v>0</v>
      </c>
      <c r="BT51" s="48">
        <f>COUNTIFS($B$11:$B$40,"ウ 中学校",$L$11:$L$40,"カ 打撲（顔）")</f>
        <v>0</v>
      </c>
      <c r="BU51" s="48">
        <f>COUNTIFS($B$11:$B$40,"ウ 中学校",$L$11:$L$40,"キ 打撲（足）")</f>
        <v>0</v>
      </c>
      <c r="BV51" s="48">
        <f>COUNTIFS($B$11:$B$40,"ウ 中学校",$L$11:$L$40,"ク 打撲（オ～キ以外）")</f>
        <v>0</v>
      </c>
      <c r="BW51" s="48">
        <f>COUNTIFS($B$11:$B$40,"ウ 中学校",$L$11:$L$40,"ケ 鼻血")</f>
        <v>0</v>
      </c>
      <c r="BX51" s="48">
        <f>COUNTIFS($B$11:$B$40,"ウ 中学校",$L$11:$L$40,"コ 髪を切られる")</f>
        <v>0</v>
      </c>
      <c r="BY51" s="48">
        <f>COUNTIFS($B$11:$B$40,"ウ 中学校",$L$11:$L$40,"サ その他")</f>
        <v>0</v>
      </c>
      <c r="BZ51" s="48">
        <f>COUNTIFS($B$11:$B$40,"ウ 中学校",$L$11:$L$40,"シ 傷害なし")</f>
        <v>0</v>
      </c>
      <c r="CA51" s="47">
        <f>COUNTIFS($B$11:$B$40,"ウ 中学校",$M$11:$M$40,1)</f>
        <v>0</v>
      </c>
      <c r="CB51" s="47">
        <f>COUNTIFS($B$11:$B$40,"ウ 中学校",$N$11:$N$40,1)</f>
        <v>0</v>
      </c>
      <c r="CC51" s="47">
        <f>COUNTIFS($B$11:$B$40,"ウ 中学校",$O$11:$O$40,1)</f>
        <v>0</v>
      </c>
      <c r="CD51" s="47">
        <f>COUNTIFS($B$11:$B$40,"ウ 中学校",$P$11:$P$40,1)</f>
        <v>0</v>
      </c>
      <c r="CE51" s="47">
        <f>COUNTIFS($B$11:$B$40,"ウ 中学校",$Q$11:$Q$40,1)</f>
        <v>0</v>
      </c>
      <c r="CF51" s="47">
        <f>COUNTIFS($B$11:$B$40,"ウ 中学校",$R$11:$R$40,1)</f>
        <v>0</v>
      </c>
      <c r="CG51" s="47">
        <f>COUNTIFS($B$11:$B$40,"ウ 中学校",$S$11:$S$40,1)</f>
        <v>0</v>
      </c>
      <c r="CH51" s="47">
        <f>COUNTIFS($B$11:$B$40,"ウ 中学校",$T$11:$T$40,1)</f>
        <v>0</v>
      </c>
      <c r="CI51" s="47">
        <f>COUNTIFS($B$11:$B$40,"ウ 中学校",$U$11:$U$40,1)</f>
        <v>0</v>
      </c>
      <c r="CJ51" s="47">
        <f>COUNTIFS($B$11:$B$40,"ウ 中学校",$V$11:$V$40,1)</f>
        <v>0</v>
      </c>
      <c r="CK51" s="47">
        <f>COUNTIFS($B$11:$B$40,"ウ 中学校",$W$11:$W$40,1)</f>
        <v>0</v>
      </c>
    </row>
    <row r="52" spans="34:89" ht="21.75" customHeight="1" x14ac:dyDescent="0.15">
      <c r="AH52" s="45" t="s">
        <v>36</v>
      </c>
      <c r="AI52" s="47" t="e">
        <f>INT(SUMPRODUCT(1/SUBSTITUTE(COUNTIFS(B11:B40,"エ 義務教育学校",#REF!,#REF!),0,31)))</f>
        <v>#REF!</v>
      </c>
      <c r="AJ52" s="47">
        <f>COUNTIF($B$11:$B$40,"エ 義務教育学校")</f>
        <v>0</v>
      </c>
      <c r="AK52" s="47">
        <f>COUNTIFS(B11:B40,"エ 義務教育学校",C11:C40,"ア ２０歳代")</f>
        <v>0</v>
      </c>
      <c r="AL52" s="47">
        <f>COUNTIFS(B11:B40,"エ 義務教育学校",C11:C40,"イ ３０歳代")</f>
        <v>0</v>
      </c>
      <c r="AM52" s="47">
        <f>COUNTIFS(B11:B40,"エ 義務教育学校",C11:C40,"ウ ４０歳代")</f>
        <v>0</v>
      </c>
      <c r="AN52" s="47">
        <f>COUNTIFS(B11:B40,"エ 義務教育学校",C11:C40,"エ ５０歳代")</f>
        <v>0</v>
      </c>
      <c r="AO52" s="47">
        <f>COUNTIFS(B11:B40,"エ 義務教育学校",C11:C40,"オ ６０歳代以上")</f>
        <v>0</v>
      </c>
      <c r="AP52" s="47">
        <f>COUNTIFS($B$11:$B$40,"エ 義務教育学校",$D$11:$D$40,"ア 男性")</f>
        <v>0</v>
      </c>
      <c r="AQ52" s="47">
        <f>COUNTIFS($B$11:$B$40,"エ 義務教育学校",$D$11:$D$40,"イ 女性")</f>
        <v>0</v>
      </c>
      <c r="AR52" s="47" t="e">
        <f>SUM(#REF!)</f>
        <v>#REF!</v>
      </c>
      <c r="AS52" s="48">
        <f>COUNTIFS($B$11:$B$40,"エ 義務教育学校",$I$11:$I$40,"ア 授業中・保育中")</f>
        <v>0</v>
      </c>
      <c r="AT52" s="48">
        <f>COUNTIFS($B$11:$B$40,"エ 義務教育学校",$I$11:$I$40,"イ 放課後")</f>
        <v>0</v>
      </c>
      <c r="AU52" s="48">
        <f>COUNTIFS($B$11:$B$40,"エ 義務教育学校",$I$11:$I$40,"ウ 休み時間")</f>
        <v>0</v>
      </c>
      <c r="AV52" s="48">
        <f>COUNTIFS($B$11:$B$40,"エ 義務教育学校",$I$11:$I$40,"エ 部活動")</f>
        <v>0</v>
      </c>
      <c r="AW52" s="48">
        <f>COUNTIFS($B$11:$B$40,"エ 義務教育学校",$I$11:$I$40,"オ 学校行事")</f>
        <v>0</v>
      </c>
      <c r="AX52" s="48">
        <f>COUNTIFS($B$11:$B$40,"エ 義務教育学校",$I$11:$I$40,"カ ホームルーム")</f>
        <v>0</v>
      </c>
      <c r="AY52" s="48">
        <f>COUNTIFS($B$11:$B$40,"エ 義務教育学校",$I$11:$I$40,"キ その他")</f>
        <v>0</v>
      </c>
      <c r="AZ52" s="48">
        <f>COUNTIFS($B$11:$B$40,"エ 義務教育学校",$J$11:$J$40,"ア 教室・保育室")</f>
        <v>0</v>
      </c>
      <c r="BA52" s="48">
        <f>COUNTIFS($B$11:$B$40,"エ 義務教育学校",$J$11:$J$40,"イ 職員室")</f>
        <v>0</v>
      </c>
      <c r="BB52" s="48">
        <f>COUNTIFS($B$11:$B$40,"エ 義務教育学校",$J$11:$J$40,"ウ 運動場・園庭、体育館・遊戯室")</f>
        <v>0</v>
      </c>
      <c r="BC52" s="48">
        <f>COUNTIFS($B$11:$B$40,"エ 義務教育学校",$J$11:$J$40,"エ 生徒指導室")</f>
        <v>0</v>
      </c>
      <c r="BD52" s="48">
        <f>COUNTIFS($B$11:$B$40,"エ 義務教育学校",$J$11:$J$40,"オ 廊下、階段")</f>
        <v>0</v>
      </c>
      <c r="BE52" s="48">
        <f>COUNTIFS($B$11:$B$40,"エ 義務教育学校",$J$11:$J$40,"カ その他")</f>
        <v>0</v>
      </c>
      <c r="BF52" s="48">
        <f>COUNTIFS($B$11:$B$40,"エ 義務教育学校",$K$11:$K$40,"ア 素手で殴る・叩く")</f>
        <v>0</v>
      </c>
      <c r="BG52" s="48">
        <f>COUNTIFS($B$11:$B$40,"エ 義務教育学校",$K$11:$K$40,"イ 棒などで殴る・叩く")</f>
        <v>0</v>
      </c>
      <c r="BH52" s="48">
        <f>COUNTIFS($B$11:$B$40,"エ 義務教育学校",$K$11:$K$40,"ウ 蹴る・踏みつける")</f>
        <v>0</v>
      </c>
      <c r="BI52" s="48">
        <f>COUNTIFS($B$11:$B$40,"エ 義務教育学校",$K$11:$K$40,"エ 投げる・突き飛ばす・転倒させる")</f>
        <v>0</v>
      </c>
      <c r="BJ52" s="48">
        <f>COUNTIFS($B$11:$B$40,"エ 義務教育学校",$K$11:$K$40,"オ つねる・ひっかく")</f>
        <v>0</v>
      </c>
      <c r="BK52" s="48">
        <f>COUNTIFS($B$11:$B$40,"エ 義務教育学校",$K$11:$K$40,"カ 物をぶつける・投げつける")</f>
        <v>0</v>
      </c>
      <c r="BL52" s="48">
        <f>COUNTIFS($B$11:$B$40,"エ 義務教育学校",$K$11:$K$40,"キ 長時間教室等に留め置く")</f>
        <v>0</v>
      </c>
      <c r="BM52" s="48">
        <f>COUNTIFS($B$11:$B$40,"エ 義務教育学校",$K$11:$K$40,"ク 長時間正座など一定の姿勢を保持させる")</f>
        <v>0</v>
      </c>
      <c r="BN52" s="48">
        <f>COUNTIFS($B$11:$B$40,"エ 義務教育学校",$K$11:$K$40,"ケ その他")</f>
        <v>0</v>
      </c>
      <c r="BO52" s="48">
        <f>COUNTIFS($B$11:$B$40,"エ 義務教育学校",$L$11:$L$40,"ア 死亡")</f>
        <v>0</v>
      </c>
      <c r="BP52" s="48">
        <f>COUNTIFS($B$11:$B$40,"エ 義務教育学校",$L$11:$L$40,"イ 骨折・挫折など")</f>
        <v>0</v>
      </c>
      <c r="BQ52" s="48">
        <f>COUNTIFS($B$11:$B$40,"エ 義務教育学校",$L$11:$L$40,"ウ 鼓膜損傷")</f>
        <v>0</v>
      </c>
      <c r="BR52" s="48">
        <f>COUNTIFS($B$11:$B$40,"エ 義務教育学校",$L$11:$L$40,"エ 外傷")</f>
        <v>0</v>
      </c>
      <c r="BS52" s="48">
        <f>COUNTIFS($B$11:$B$40,"エ 義務教育学校",$L$11:$L$40,"オ 打撲（頭）")</f>
        <v>0</v>
      </c>
      <c r="BT52" s="48">
        <f>COUNTIFS($B$11:$B$40,"エ 義務教育学校",$L$11:$L$40,"カ 打撲（顔）")</f>
        <v>0</v>
      </c>
      <c r="BU52" s="48">
        <f>COUNTIFS($B$11:$B$40,"エ 義務教育学校",$L$11:$L$40,"キ 打撲（足）")</f>
        <v>0</v>
      </c>
      <c r="BV52" s="48">
        <f>COUNTIFS($B$11:$B$40,"エ 義務教育学校",$L$11:$L$40,"ク 打撲（オ～キ以外）")</f>
        <v>0</v>
      </c>
      <c r="BW52" s="48">
        <f>COUNTIFS($B$11:$B$40,"エ 義務教育学校",$L$11:$L$40,"ケ 鼻血")</f>
        <v>0</v>
      </c>
      <c r="BX52" s="48">
        <f>COUNTIFS($B$11:$B$40,"エ 義務教育学校",$L$11:$L$40,"コ 髪を切られる")</f>
        <v>0</v>
      </c>
      <c r="BY52" s="48">
        <f>COUNTIFS($B$11:$B$40,"エ 義務教育学校",$L$11:$L$40,"サ その他")</f>
        <v>0</v>
      </c>
      <c r="BZ52" s="48">
        <f>COUNTIFS($B$11:$B$40,"エ 義務教育学校",$L$11:$L$40,"シ 傷害なし")</f>
        <v>0</v>
      </c>
      <c r="CA52" s="47">
        <f>COUNTIFS($B$11:$B$40,"エ 義務教育学校",$M$11:$M$40,1)</f>
        <v>0</v>
      </c>
      <c r="CB52" s="47">
        <f>COUNTIFS($B$11:$B$40,"エ 義務教育学校",$N$11:$N$40,1)</f>
        <v>0</v>
      </c>
      <c r="CC52" s="47">
        <f>COUNTIFS($B$11:$B$40,"エ 義務教育学校",$O$11:$O$40,1)</f>
        <v>0</v>
      </c>
      <c r="CD52" s="47">
        <f>COUNTIFS($B$11:$B$40,"エ 義務教育学校",$P$11:$P$40,1)</f>
        <v>0</v>
      </c>
      <c r="CE52" s="47">
        <f>COUNTIFS($B$11:$B$40,"エ 義務教育学校",$Q$11:$Q$40,1)</f>
        <v>0</v>
      </c>
      <c r="CF52" s="47">
        <f>COUNTIFS($B$11:$B$40,"エ 義務教育学校",$R$11:$R$40,1)</f>
        <v>0</v>
      </c>
      <c r="CG52" s="47">
        <f>COUNTIFS($B$11:$B$40,"エ 義務教育学校",$S$11:$S$40,1)</f>
        <v>0</v>
      </c>
      <c r="CH52" s="47">
        <f>COUNTIFS($B$11:$B$40,"エ 義務教育学校",$T$11:$T$40,1)</f>
        <v>0</v>
      </c>
      <c r="CI52" s="47">
        <f>COUNTIFS($B$11:$B$40,"エ 義務教育学校",$U$11:$U$40,1)</f>
        <v>0</v>
      </c>
      <c r="CJ52" s="47">
        <f>COUNTIFS($B$11:$B$40,"エ 義務教育学校",$V$11:$V$40,1)</f>
        <v>0</v>
      </c>
      <c r="CK52" s="47">
        <f>COUNTIFS($B$11:$B$40,"エ 義務教育学校",$W$11:$W$40,1)</f>
        <v>0</v>
      </c>
    </row>
    <row r="53" spans="34:89" ht="21.75" customHeight="1" x14ac:dyDescent="0.15">
      <c r="AH53" s="45" t="s">
        <v>37</v>
      </c>
      <c r="AI53" s="47" t="e">
        <f>INT(SUMPRODUCT(1/SUBSTITUTE(COUNTIFS(B11:B40,"オ 高等学校",#REF!,#REF!),0,31)))</f>
        <v>#REF!</v>
      </c>
      <c r="AJ53" s="47">
        <f>COUNTIF($B$11:$B$40,"オ 高等学校")</f>
        <v>0</v>
      </c>
      <c r="AK53" s="47">
        <f>COUNTIFS(B11:B40,"オ 高等学校",C11:C40,"ア ２０歳代")</f>
        <v>0</v>
      </c>
      <c r="AL53" s="47">
        <f>COUNTIFS(B11:B40,"オ 高等学校",C11:C40,"イ ３０歳代")</f>
        <v>0</v>
      </c>
      <c r="AM53" s="47">
        <f>COUNTIFS(B11:B40,"オ 高等学校",C11:C40,"ウ ４０歳代")</f>
        <v>0</v>
      </c>
      <c r="AN53" s="47">
        <f>COUNTIFS(B11:B40,"オ 高等学校",C11:C40,"エ ５０歳代")</f>
        <v>0</v>
      </c>
      <c r="AO53" s="47">
        <f>COUNTIFS(B11:B40,"オ 高等学校",C11:C40,"オ ６０歳代以上")</f>
        <v>0</v>
      </c>
      <c r="AP53" s="47">
        <f>COUNTIFS($B$11:$B$40,"オ 高等学校",$D$11:$D$40,"ア 男性")</f>
        <v>0</v>
      </c>
      <c r="AQ53" s="47">
        <f>COUNTIFS($B$11:$B$40,"オ 高等学校",$D$11:$D$40,"イ 女性")</f>
        <v>0</v>
      </c>
      <c r="AR53" s="47" t="e">
        <f>SUM(#REF!)</f>
        <v>#REF!</v>
      </c>
      <c r="AS53" s="48">
        <f>COUNTIFS($B$11:$B$40,"オ 高等学校",$I$11:$I$40,"ア 授業中・保育中")</f>
        <v>0</v>
      </c>
      <c r="AT53" s="48">
        <f>COUNTIFS($B$11:$B$40,"オ 高等学校",$I$11:$I$40,"イ 放課後")</f>
        <v>0</v>
      </c>
      <c r="AU53" s="48">
        <f>COUNTIFS($B$11:$B$40,"オ 高等学校",$I$11:$I$40,"ウ 休み時間")</f>
        <v>0</v>
      </c>
      <c r="AV53" s="48">
        <f>COUNTIFS($B$11:$B$40,"オ 高等学校",$I$11:$I$40,"エ 部活動")</f>
        <v>0</v>
      </c>
      <c r="AW53" s="48">
        <f>COUNTIFS($B$11:$B$40,"オ 高等学校",$I$11:$I$40,"オ 学校行事")</f>
        <v>0</v>
      </c>
      <c r="AX53" s="48">
        <f>COUNTIFS($B$11:$B$40,"オ 高等学校",$I$11:$I$40,"カ ホームルーム")</f>
        <v>0</v>
      </c>
      <c r="AY53" s="48">
        <f>COUNTIFS($B$11:$B$40,"オ 高等学校",$I$11:$I$40,"キ その他")</f>
        <v>0</v>
      </c>
      <c r="AZ53" s="48">
        <f>COUNTIFS($B$11:$B$40,"オ 高等学校",$J$11:$J$40,"ア 教室・保育室")</f>
        <v>0</v>
      </c>
      <c r="BA53" s="48">
        <f>COUNTIFS($B$11:$B$40,"オ 高等学校",$J$11:$J$40,"イ 職員室")</f>
        <v>0</v>
      </c>
      <c r="BB53" s="48">
        <f>COUNTIFS($B$11:$B$40,"オ 高等学校",$J$11:$J$40,"ウ 運動場・園庭、体育館・遊戯室")</f>
        <v>0</v>
      </c>
      <c r="BC53" s="48">
        <f>COUNTIFS($B$11:$B$40,"オ 高等学校",$J$11:$J$40,"エ 生徒指導室")</f>
        <v>0</v>
      </c>
      <c r="BD53" s="48">
        <f>COUNTIFS($B$11:$B$40,"オ 高等学校",$J$11:$J$40,"オ 廊下、階段")</f>
        <v>0</v>
      </c>
      <c r="BE53" s="48">
        <f>COUNTIFS($B$11:$B$40,"オ 高等学校",$J$11:$J$40,"カ その他")</f>
        <v>0</v>
      </c>
      <c r="BF53" s="48">
        <f>COUNTIFS($B$11:$B$40,"オ 高等学校",$K$11:$K$40,"ア 素手で殴る・叩く")</f>
        <v>0</v>
      </c>
      <c r="BG53" s="48">
        <f>COUNTIFS($B$11:$B$40,"オ 高等学校",$K$11:$K$40,"イ 棒などで殴る・叩く")</f>
        <v>0</v>
      </c>
      <c r="BH53" s="48">
        <f>COUNTIFS($B$11:$B$40,"オ 高等学校",$K$11:$K$40,"ウ 蹴る・踏みつける")</f>
        <v>0</v>
      </c>
      <c r="BI53" s="48">
        <f>COUNTIFS($B$11:$B$40,"オ 高等学校",$K$11:$K$40,"エ 投げる・突き飛ばす・転倒させる")</f>
        <v>0</v>
      </c>
      <c r="BJ53" s="48">
        <f>COUNTIFS($B$11:$B$40,"オ 高等学校",$K$11:$K$40,"オ つねる・ひっかく")</f>
        <v>0</v>
      </c>
      <c r="BK53" s="48">
        <f>COUNTIFS($B$11:$B$40,"オ 高等学校",$K$11:$K$40,"カ 物をぶつける・投げつける")</f>
        <v>0</v>
      </c>
      <c r="BL53" s="48">
        <f>COUNTIFS($B$11:$B$40,"オ 高等学校",$K$11:$K$40,"キ 長時間教室等に留め置く")</f>
        <v>0</v>
      </c>
      <c r="BM53" s="48">
        <f>COUNTIFS($B$11:$B$40,"オ 高等学校",$K$11:$K$40,"ク 長時間正座など一定の姿勢を保持させる")</f>
        <v>0</v>
      </c>
      <c r="BN53" s="48">
        <f>COUNTIFS($B$11:$B$40,"オ 高等学校",$K$11:$K$40,"ケ その他")</f>
        <v>0</v>
      </c>
      <c r="BO53" s="48">
        <f>COUNTIFS($B$11:$B$40,"オ 高等学校",$L$11:$L$40,"ア 死亡")</f>
        <v>0</v>
      </c>
      <c r="BP53" s="48">
        <f>COUNTIFS($B$11:$B$40,"オ 高等学校",$L$11:$L$40,"イ 骨折・挫折など")</f>
        <v>0</v>
      </c>
      <c r="BQ53" s="48">
        <f>COUNTIFS($B$11:$B$40,"オ 高等学校",$L$11:$L$40,"ウ 鼓膜損傷")</f>
        <v>0</v>
      </c>
      <c r="BR53" s="48">
        <f>COUNTIFS($B$11:$B$40,"オ 高等学校",$L$11:$L$40,"エ 外傷")</f>
        <v>0</v>
      </c>
      <c r="BS53" s="48">
        <f>COUNTIFS($B$11:$B$40,"オ 高等学校",$L$11:$L$40,"オ 打撲（頭）")</f>
        <v>0</v>
      </c>
      <c r="BT53" s="48">
        <f>COUNTIFS($B$11:$B$40,"オ 高等学校",$L$11:$L$40,"カ 打撲（顔）")</f>
        <v>0</v>
      </c>
      <c r="BU53" s="48">
        <f>COUNTIFS($B$11:$B$40,"オ 高等学校",$L$11:$L$40,"キ 打撲（足）")</f>
        <v>0</v>
      </c>
      <c r="BV53" s="48">
        <f>COUNTIFS($B$11:$B$40,"オ 高等学校",$L$11:$L$40,"ク 打撲（オ～キ以外）")</f>
        <v>0</v>
      </c>
      <c r="BW53" s="48">
        <f>COUNTIFS($B$11:$B$40,"オ 高等学校",$L$11:$L$40,"ケ 鼻血")</f>
        <v>0</v>
      </c>
      <c r="BX53" s="48">
        <f>COUNTIFS($B$11:$B$40,"オ 高等学校",$L$11:$L$40,"コ 髪を切られる")</f>
        <v>0</v>
      </c>
      <c r="BY53" s="48">
        <f>COUNTIFS($B$11:$B$40,"オ 高等学校",$L$11:$L$40,"サ その他")</f>
        <v>0</v>
      </c>
      <c r="BZ53" s="48">
        <f>COUNTIFS($B$11:$B$40,"オ 高等学校",$L$11:$L$40,"シ 傷害なし")</f>
        <v>0</v>
      </c>
      <c r="CA53" s="47">
        <f>COUNTIFS($B$11:$B$40,"オ 高等学校",$M$11:$M$40,1)</f>
        <v>0</v>
      </c>
      <c r="CB53" s="47">
        <f>COUNTIFS($B$11:$B$40,"オ 高等学校",$N$11:$N$40,1)</f>
        <v>0</v>
      </c>
      <c r="CC53" s="47">
        <f>COUNTIFS($B$11:$B$40,"オ 高等学校",$O$11:$O$40,1)</f>
        <v>0</v>
      </c>
      <c r="CD53" s="47">
        <f>COUNTIFS($B$11:$B$40,"オ 高等学校",$P$11:$P$40,1)</f>
        <v>0</v>
      </c>
      <c r="CE53" s="47">
        <f>COUNTIFS($B$11:$B$40,"オ 高等学校",$Q$11:$Q$40,1)</f>
        <v>0</v>
      </c>
      <c r="CF53" s="47">
        <f>COUNTIFS($B$11:$B$40,"オ 高等学校",$R$11:$R$40,1)</f>
        <v>0</v>
      </c>
      <c r="CG53" s="47">
        <f>COUNTIFS($B$11:$B$40,"オ 高等学校",$S$11:$S$40,1)</f>
        <v>0</v>
      </c>
      <c r="CH53" s="47">
        <f>COUNTIFS($B$11:$B$40,"オ 高等学校",$T$11:$T$40,1)</f>
        <v>0</v>
      </c>
      <c r="CI53" s="47">
        <f>COUNTIFS($B$11:$B$40,"オ 高等学校",$U$11:$U$40,1)</f>
        <v>0</v>
      </c>
      <c r="CJ53" s="47">
        <f>COUNTIFS($B$11:$B$40,"オ 高等学校",$V$11:$V$40,1)</f>
        <v>0</v>
      </c>
      <c r="CK53" s="47">
        <f>COUNTIFS($B$11:$B$40,"オ 高等学校",$W$11:$W$40,1)</f>
        <v>0</v>
      </c>
    </row>
    <row r="54" spans="34:89" ht="21.75" customHeight="1" x14ac:dyDescent="0.15">
      <c r="AH54" s="45" t="s">
        <v>38</v>
      </c>
      <c r="AI54" s="47" t="e">
        <f>INT(SUMPRODUCT(1/SUBSTITUTE(COUNTIFS(B11:B40,"カ 中等教育学校",#REF!,#REF!),0,31)))</f>
        <v>#REF!</v>
      </c>
      <c r="AJ54" s="47">
        <f>COUNTIF($B$11:$B$40,"カ 中等教育学校")</f>
        <v>0</v>
      </c>
      <c r="AK54" s="47">
        <f>COUNTIFS(B11:B40,"カ 中等教育学校",C11:C40,"ア ２０歳代")</f>
        <v>0</v>
      </c>
      <c r="AL54" s="47">
        <f>COUNTIFS(B11:B40,"カ 中等教育学校",C11:C40,"イ ３０歳代")</f>
        <v>0</v>
      </c>
      <c r="AM54" s="47">
        <f>COUNTIFS(B11:B40,"カ 中等教育学校",C11:C40,"ウ ４０歳代")</f>
        <v>0</v>
      </c>
      <c r="AN54" s="47">
        <f>COUNTIFS(B11:B40,"カ 中等教育学校",C11:C40,"エ ５０歳代")</f>
        <v>0</v>
      </c>
      <c r="AO54" s="47">
        <f>COUNTIFS(B11:B40,"カ 中等教育学校",C11:C40,"オ ６０歳代以上")</f>
        <v>0</v>
      </c>
      <c r="AP54" s="47">
        <f>COUNTIFS($B$11:$B$40,"カ 中等教育学校",$D$11:$D$40,"ア 男性")</f>
        <v>0</v>
      </c>
      <c r="AQ54" s="47">
        <f>COUNTIFS($B$11:$B$40,"カ 中等教育学校",$D$11:$D$40,"イ 女性")</f>
        <v>0</v>
      </c>
      <c r="AR54" s="47" t="e">
        <f>SUM(#REF!)</f>
        <v>#REF!</v>
      </c>
      <c r="AS54" s="48">
        <f>COUNTIFS($B$11:$B$40,"カ 中等教育学校",$I$11:$I$40,"ア 授業中・保育中")</f>
        <v>0</v>
      </c>
      <c r="AT54" s="48">
        <f>COUNTIFS($B$11:$B$40,"カ 中等教育学校",$I$11:$I$40,"イ 放課後")</f>
        <v>0</v>
      </c>
      <c r="AU54" s="48">
        <f>COUNTIFS($B$11:$B$40,"カ 中等教育学校",$I$11:$I$40,"ウ 休み時間")</f>
        <v>0</v>
      </c>
      <c r="AV54" s="48">
        <f>COUNTIFS($B$11:$B$40,"カ 中等教育学校",$I$11:$I$40,"エ 部活動")</f>
        <v>0</v>
      </c>
      <c r="AW54" s="48">
        <f>COUNTIFS($B$11:$B$40,"カ 中等教育学校",$I$11:$I$40,"オ 学校行事")</f>
        <v>0</v>
      </c>
      <c r="AX54" s="48">
        <f>COUNTIFS($B$11:$B$40,"カ 中等教育学校",$I$11:$I$40,"カ ホームルーム")</f>
        <v>0</v>
      </c>
      <c r="AY54" s="48">
        <f>COUNTIFS($B$11:$B$40,"カ 中等教育学校",$I$11:$I$40,"キ その他")</f>
        <v>0</v>
      </c>
      <c r="AZ54" s="48">
        <f>COUNTIFS($B$11:$B$40,"カ 中等教育学校",$J$11:$J$40,"ア 教室・保育室")</f>
        <v>0</v>
      </c>
      <c r="BA54" s="48">
        <f>COUNTIFS($B$11:$B$40,"カ 中等教育学校",$J$11:$J$40,"イ 職員室")</f>
        <v>0</v>
      </c>
      <c r="BB54" s="48">
        <f>COUNTIFS($B$11:$B$40,"カ 中等教育学校",$J$11:$J$40,"ウ 運動場・園庭、体育館・遊戯室")</f>
        <v>0</v>
      </c>
      <c r="BC54" s="48">
        <f>COUNTIFS($B$11:$B$40,"カ 中等教育学校",$J$11:$J$40,"エ 生徒指導室")</f>
        <v>0</v>
      </c>
      <c r="BD54" s="48">
        <f>COUNTIFS($B$11:$B$40,"カ 中等教育学校",$J$11:$J$40,"オ 廊下、階段")</f>
        <v>0</v>
      </c>
      <c r="BE54" s="48">
        <f>COUNTIFS($B$11:$B$40,"カ 中等教育学校",$J$11:$J$40,"カ その他")</f>
        <v>0</v>
      </c>
      <c r="BF54" s="48">
        <f>COUNTIFS($B$11:$B$40,"カ 中等教育学校",$K$11:$K$40,"ア 素手で殴る・叩く")</f>
        <v>0</v>
      </c>
      <c r="BG54" s="48">
        <f>COUNTIFS($B$11:$B$40,"カ 中等教育学校",$K$11:$K$40,"イ 棒などで殴る・叩く")</f>
        <v>0</v>
      </c>
      <c r="BH54" s="48">
        <f>COUNTIFS($B$11:$B$40,"カ 中等教育学校",$K$11:$K$40,"ウ 蹴る・踏みつける")</f>
        <v>0</v>
      </c>
      <c r="BI54" s="48">
        <f>COUNTIFS($B$11:$B$40,"カ 中等教育学校",$K$11:$K$40,"エ 投げる・突き飛ばす・転倒させる")</f>
        <v>0</v>
      </c>
      <c r="BJ54" s="48">
        <f>COUNTIFS($B$11:$B$40,"カ 中等教育学校",$K$11:$K$40,"オ つねる・ひっかく")</f>
        <v>0</v>
      </c>
      <c r="BK54" s="48">
        <f>COUNTIFS($B$11:$B$40,"カ 中等教育学校",$K$11:$K$40,"カ 物をぶつける・投げつける")</f>
        <v>0</v>
      </c>
      <c r="BL54" s="48">
        <f>COUNTIFS($B$11:$B$40,"カ 中等教育学校",$K$11:$K$40,"キ 長時間教室等に留め置く")</f>
        <v>0</v>
      </c>
      <c r="BM54" s="48">
        <f>COUNTIFS($B$11:$B$40,"カ 中等教育学校",$K$11:$K$40,"ク 長時間正座など一定の姿勢を保持させる")</f>
        <v>0</v>
      </c>
      <c r="BN54" s="48">
        <f>COUNTIFS($B$11:$B$40,"カ 中等教育学校",$K$11:$K$40,"ケ その他")</f>
        <v>0</v>
      </c>
      <c r="BO54" s="48">
        <f>COUNTIFS($B$11:$B$40,"カ 中等教育学校",$L$11:$L$40,"ア 死亡")</f>
        <v>0</v>
      </c>
      <c r="BP54" s="48">
        <f>COUNTIFS($B$11:$B$40,"カ 中等教育学校",$L$11:$L$40,"イ 骨折・挫折など")</f>
        <v>0</v>
      </c>
      <c r="BQ54" s="48">
        <f>COUNTIFS($B$11:$B$40,"カ 中等教育学校",$L$11:$L$40,"ウ 鼓膜損傷")</f>
        <v>0</v>
      </c>
      <c r="BR54" s="48">
        <f>COUNTIFS($B$11:$B$40,"カ 中等教育学校",$L$11:$L$40,"エ 外傷")</f>
        <v>0</v>
      </c>
      <c r="BS54" s="48">
        <f>COUNTIFS($B$11:$B$40,"カ 中等教育学校",$L$11:$L$40,"オ 打撲（頭）")</f>
        <v>0</v>
      </c>
      <c r="BT54" s="48">
        <f>COUNTIFS($B$11:$B$40,"カ 中等教育学校",$L$11:$L$40,"カ 打撲（顔）")</f>
        <v>0</v>
      </c>
      <c r="BU54" s="48">
        <f>COUNTIFS($B$11:$B$40,"カ 中等教育学校",$L$11:$L$40,"キ 打撲（足）")</f>
        <v>0</v>
      </c>
      <c r="BV54" s="48">
        <f>COUNTIFS($B$11:$B$40,"カ 中等教育学校",$L$11:$L$40,"ク 打撲（オ～キ以外）")</f>
        <v>0</v>
      </c>
      <c r="BW54" s="48">
        <f>COUNTIFS($B$11:$B$40,"カ 中等教育学校",$L$11:$L$40,"ケ 鼻血")</f>
        <v>0</v>
      </c>
      <c r="BX54" s="48">
        <f>COUNTIFS($B$11:$B$40,"カ 中等教育学校",$L$11:$L$40,"コ 髪を切られる")</f>
        <v>0</v>
      </c>
      <c r="BY54" s="48">
        <f>COUNTIFS($B$11:$B$40,"カ 中等教育学校",$L$11:$L$40,"サ その他")</f>
        <v>0</v>
      </c>
      <c r="BZ54" s="48">
        <f>COUNTIFS($B$11:$B$40,"カ 中等教育学校",$L$11:$L$40,"シ 傷害なし")</f>
        <v>0</v>
      </c>
      <c r="CA54" s="47">
        <f>COUNTIFS($B$11:$B$40,"カ 中等教育学校",$M$11:$M$40,1)</f>
        <v>0</v>
      </c>
      <c r="CB54" s="47">
        <f>COUNTIFS($B$11:$B$40,"カ 中等教育学校",$N$11:$N$40,1)</f>
        <v>0</v>
      </c>
      <c r="CC54" s="47">
        <f>COUNTIFS($B$11:$B$40,"カ 中等教育学校",$O$11:$O$40,1)</f>
        <v>0</v>
      </c>
      <c r="CD54" s="47">
        <f>COUNTIFS($B$11:$B$40,"カ 中等教育学校",$P$11:$P$40,1)</f>
        <v>0</v>
      </c>
      <c r="CE54" s="47">
        <f>COUNTIFS($B$11:$B$40,"カ 中等教育学校",$Q$11:$Q$40,1)</f>
        <v>0</v>
      </c>
      <c r="CF54" s="47">
        <f>COUNTIFS($B$11:$B$40,"カ 中等教育学校",$R$11:$R$40,1)</f>
        <v>0</v>
      </c>
      <c r="CG54" s="47">
        <f>COUNTIFS($B$11:$B$40,"カ 中等教育学校",$S$11:$S$40,1)</f>
        <v>0</v>
      </c>
      <c r="CH54" s="47">
        <f>COUNTIFS($B$11:$B$40,"カ 中等教育学校",$T$11:$T$40,1)</f>
        <v>0</v>
      </c>
      <c r="CI54" s="47">
        <f>COUNTIFS($B$11:$B$40,"カ 中等教育学校",$U$11:$U$40,1)</f>
        <v>0</v>
      </c>
      <c r="CJ54" s="47">
        <f>COUNTIFS($B$11:$B$40,"カ 中等教育学校",$V$11:$V$40,1)</f>
        <v>0</v>
      </c>
      <c r="CK54" s="47">
        <f>COUNTIFS($B$11:$B$40,"カ 中等教育学校",$W$11:$W$40,1)</f>
        <v>0</v>
      </c>
    </row>
    <row r="55" spans="34:89" ht="21.75" customHeight="1" x14ac:dyDescent="0.15">
      <c r="AH55" s="45" t="s">
        <v>39</v>
      </c>
      <c r="AI55" s="47" t="e">
        <f>INT(SUMPRODUCT(1/SUBSTITUTE(COUNTIFS(B11:B40,"キ 特別支援学校",#REF!,#REF!),0,31)))</f>
        <v>#REF!</v>
      </c>
      <c r="AJ55" s="47">
        <f>COUNTIF($B$11:$B$40,"キ 特別支援学校")</f>
        <v>0</v>
      </c>
      <c r="AK55" s="47">
        <f>COUNTIFS(B11:B40,"キ 特別支援学校",C11:C40,"ア ２０歳代")</f>
        <v>0</v>
      </c>
      <c r="AL55" s="47">
        <f>COUNTIFS(B11:B40,"キ 特別支援学校",C11:C40,"イ ３０歳代")</f>
        <v>0</v>
      </c>
      <c r="AM55" s="47">
        <f>COUNTIFS(B11:B40,"キ 特別支援学校",C11:C40,"ウ ４０歳代")</f>
        <v>0</v>
      </c>
      <c r="AN55" s="47">
        <f>COUNTIFS(B11:B40,"キ 特別支援学校",C11:C40,"エ ５０歳代")</f>
        <v>0</v>
      </c>
      <c r="AO55" s="47">
        <f>COUNTIFS(B11:B40,"キ 特別支援学校",C11:C40,"オ ６０歳代以上")</f>
        <v>0</v>
      </c>
      <c r="AP55" s="47">
        <f>COUNTIFS($B$11:$B$40,"キ 特別支援学校",$D$11:$D$40,"ア 男性")</f>
        <v>0</v>
      </c>
      <c r="AQ55" s="47">
        <f>COUNTIFS($B$11:$B$40,"キ 特別支援学校",$D$11:$D$40,"イ 女性")</f>
        <v>0</v>
      </c>
      <c r="AR55" s="47" t="e">
        <f>SUM(#REF!)</f>
        <v>#REF!</v>
      </c>
      <c r="AS55" s="48">
        <f>COUNTIFS($B$11:$B$40,"キ 特別支援学校",$I$11:$I$40,"ア 授業中・保育中")</f>
        <v>0</v>
      </c>
      <c r="AT55" s="48">
        <f>COUNTIFS($B$11:$B$40,"キ 特別支援学校",$I$11:$I$40,"イ 放課後")</f>
        <v>0</v>
      </c>
      <c r="AU55" s="48">
        <f>COUNTIFS($B$11:$B$40,"キ 特別支援学校",$I$11:$I$40,"ウ 休み時間")</f>
        <v>0</v>
      </c>
      <c r="AV55" s="48">
        <f>COUNTIFS($B$11:$B$40,"キ 特別支援学校",$I$11:$I$40,"エ 部活動")</f>
        <v>0</v>
      </c>
      <c r="AW55" s="48">
        <f>COUNTIFS($B$11:$B$40,"キ 特別支援学校",$I$11:$I$40,"オ 学校行事")</f>
        <v>0</v>
      </c>
      <c r="AX55" s="48">
        <f>COUNTIFS($B$11:$B$40,"キ 特別支援学校",$I$11:$I$40,"カ ホームルーム")</f>
        <v>0</v>
      </c>
      <c r="AY55" s="48">
        <f>COUNTIFS($B$11:$B$40,"キ 特別支援学校",$I$11:$I$40,"キ その他")</f>
        <v>0</v>
      </c>
      <c r="AZ55" s="48">
        <f>COUNTIFS($B$11:$B$40,"キ 特別支援学校",$J$11:$J$40,"ア 教室・保育室")</f>
        <v>0</v>
      </c>
      <c r="BA55" s="48">
        <f>COUNTIFS($B$11:$B$40,"キ 特別支援学校",$J$11:$J$40,"イ 職員室")</f>
        <v>0</v>
      </c>
      <c r="BB55" s="48">
        <f>COUNTIFS($B$11:$B$40,"キ 特別支援学校",$J$11:$J$40,"ウ 運動場・園庭、体育館・遊戯室")</f>
        <v>0</v>
      </c>
      <c r="BC55" s="48">
        <f>COUNTIFS($B$11:$B$40,"キ 特別支援学校",$J$11:$J$40,"エ 生徒指導室")</f>
        <v>0</v>
      </c>
      <c r="BD55" s="48">
        <f>COUNTIFS($B$11:$B$40,"キ 特別支援学校",$J$11:$J$40,"オ 廊下、階段")</f>
        <v>0</v>
      </c>
      <c r="BE55" s="48">
        <f>COUNTIFS($B$11:$B$40,"キ 特別支援学校",$J$11:$J$40,"カ その他")</f>
        <v>0</v>
      </c>
      <c r="BF55" s="48">
        <f>COUNTIFS($B$11:$B$40,"キ 特別支援学校",$K$11:$K$40,"ア 素手で殴る・叩く")</f>
        <v>0</v>
      </c>
      <c r="BG55" s="48">
        <f>COUNTIFS($B$11:$B$40,"キ 特別支援学校",$K$11:$K$40,"イ 棒などで殴る・叩く")</f>
        <v>0</v>
      </c>
      <c r="BH55" s="48">
        <f>COUNTIFS($B$11:$B$40,"キ 特別支援学校",$K$11:$K$40,"ウ 蹴る・踏みつける")</f>
        <v>0</v>
      </c>
      <c r="BI55" s="48">
        <f>COUNTIFS($B$11:$B$40,"キ 特別支援学校",$K$11:$K$40,"エ 投げる・突き飛ばす・転倒させる")</f>
        <v>0</v>
      </c>
      <c r="BJ55" s="48">
        <f>COUNTIFS($B$11:$B$40,"キ 特別支援学校",$K$11:$K$40,"オ つねる・ひっかく")</f>
        <v>0</v>
      </c>
      <c r="BK55" s="48">
        <f>COUNTIFS($B$11:$B$40,"キ 特別支援学校",$K$11:$K$40,"カ 物をぶつける・投げつける")</f>
        <v>0</v>
      </c>
      <c r="BL55" s="48">
        <f>COUNTIFS($B$11:$B$40,"キ 特別支援学校",$K$11:$K$40,"キ 長時間教室等に留め置く")</f>
        <v>0</v>
      </c>
      <c r="BM55" s="48">
        <f>COUNTIFS($B$11:$B$40,"キ 特別支援学校",$K$11:$K$40,"ク 長時間正座など一定の姿勢を保持させる")</f>
        <v>0</v>
      </c>
      <c r="BN55" s="48">
        <f>COUNTIFS($B$11:$B$40,"キ 特別支援学校",$K$11:$K$40,"ケ その他")</f>
        <v>0</v>
      </c>
      <c r="BO55" s="48">
        <f>COUNTIFS($B$11:$B$40,"キ 特別支援学校",$L$11:$L$40,"ア 死亡")</f>
        <v>0</v>
      </c>
      <c r="BP55" s="48">
        <f>COUNTIFS($B$11:$B$40,"キ 特別支援学校",$L$11:$L$40,"イ 骨折・挫折など")</f>
        <v>0</v>
      </c>
      <c r="BQ55" s="48">
        <f>COUNTIFS($B$11:$B$40,"キ 特別支援学校",$L$11:$L$40,"ウ 鼓膜損傷")</f>
        <v>0</v>
      </c>
      <c r="BR55" s="48">
        <f>COUNTIFS($B$11:$B$40,"キ 特別支援学校",$L$11:$L$40,"エ 外傷")</f>
        <v>0</v>
      </c>
      <c r="BS55" s="48">
        <f>COUNTIFS($B$11:$B$40,"キ 特別支援学校",$L$11:$L$40,"オ 打撲（頭）")</f>
        <v>0</v>
      </c>
      <c r="BT55" s="48">
        <f>COUNTIFS($B$11:$B$40,"キ 特別支援学校",$L$11:$L$40,"カ 打撲（顔）")</f>
        <v>0</v>
      </c>
      <c r="BU55" s="48">
        <f>COUNTIFS($B$11:$B$40,"キ 特別支援学校",$L$11:$L$40,"キ 打撲（足）")</f>
        <v>0</v>
      </c>
      <c r="BV55" s="48">
        <f>COUNTIFS($B$11:$B$40,"キ 特別支援学校",$L$11:$L$40,"ク 打撲（オ～キ以外）")</f>
        <v>0</v>
      </c>
      <c r="BW55" s="48">
        <f>COUNTIFS($B$11:$B$40,"キ 特別支援学校",$L$11:$L$40,"ケ 鼻血")</f>
        <v>0</v>
      </c>
      <c r="BX55" s="48">
        <f>COUNTIFS($B$11:$B$40,"キ 特別支援学校",$L$11:$L$40,"コ 髪を切られる")</f>
        <v>0</v>
      </c>
      <c r="BY55" s="48">
        <f>COUNTIFS($B$11:$B$40,"キ 特別支援学校",$L$11:$L$40,"サ その他")</f>
        <v>0</v>
      </c>
      <c r="BZ55" s="48">
        <f>COUNTIFS($B$11:$B$40,"キ 特別支援学校",$L$11:$L$40,"シ 傷害なし")</f>
        <v>0</v>
      </c>
      <c r="CA55" s="47">
        <f>COUNTIFS($B$11:$B$40,"キ 特別支援学校",$M$11:$M$40,1)</f>
        <v>0</v>
      </c>
      <c r="CB55" s="47">
        <f>COUNTIFS($B$11:$B$40,"キ 特別支援学校",$N$11:$N$40,1)</f>
        <v>0</v>
      </c>
      <c r="CC55" s="47">
        <f>COUNTIFS($B$11:$B$40,"キ 特別支援学校",$O$11:$O$40,1)</f>
        <v>0</v>
      </c>
      <c r="CD55" s="47">
        <f>COUNTIFS($B$11:$B$40,"キ 特別支援学校",$P$11:$P$40,1)</f>
        <v>0</v>
      </c>
      <c r="CE55" s="47">
        <f>COUNTIFS($B$11:$B$40,"キ 特別支援学校",$Q$11:$Q$40,1)</f>
        <v>0</v>
      </c>
      <c r="CF55" s="47">
        <f>COUNTIFS($B$11:$B$40,"キ 特別支援学校",$R$11:$R$40,1)</f>
        <v>0</v>
      </c>
      <c r="CG55" s="47">
        <f>COUNTIFS($B$11:$B$40,"キ 特別支援学校",$S$11:$S$40,1)</f>
        <v>0</v>
      </c>
      <c r="CH55" s="47">
        <f>COUNTIFS($B$11:$B$40,"キ 特別支援学校",$T$11:$T$40,1)</f>
        <v>0</v>
      </c>
      <c r="CI55" s="47">
        <f>COUNTIFS($B$11:$B$40,"キ 特別支援学校",$U$11:$U$40,1)</f>
        <v>0</v>
      </c>
      <c r="CJ55" s="47">
        <f>COUNTIFS($B$11:$B$40,"キ 特別支援学校",$V$11:$V$40,1)</f>
        <v>0</v>
      </c>
      <c r="CK55" s="47">
        <f>COUNTIFS($B$11:$B$40,"キ 特別支援学校",$W$11:$W$40,1)</f>
        <v>0</v>
      </c>
    </row>
    <row r="56" spans="34:89" ht="21.75" customHeight="1" x14ac:dyDescent="0.15">
      <c r="AH56" s="45" t="s">
        <v>57</v>
      </c>
      <c r="AI56" s="49" t="e">
        <f>INT(SUMPRODUCT(1/SUBSTITUTE(COUNTIFS(B11:B40,"オ 高等学校",#REF!,#REF!,#REF!,"1",#REF!,#REF!),0,31)))</f>
        <v>#REF!</v>
      </c>
      <c r="AJ56" s="47" t="e">
        <f>COUNTIFS($B$11:$B$40,"オ 高等学校",#REF!,"1")</f>
        <v>#REF!</v>
      </c>
      <c r="AK56" s="47" t="e">
        <f>COUNTIFS(B11:B40,"オ 高等学校",C11:C40,"ア ２０歳代",#REF!,"1")</f>
        <v>#REF!</v>
      </c>
      <c r="AL56" s="47" t="e">
        <f>COUNTIFS(B11:B40,"オ 高等学校",C11:C40,"イ ３０歳代",#REF!,"1")</f>
        <v>#REF!</v>
      </c>
      <c r="AM56" s="47" t="e">
        <f>COUNTIFS(B11:B40,"オ 高等学校",C11:C40,"ウ ４０歳代",#REF!,"1")</f>
        <v>#REF!</v>
      </c>
      <c r="AN56" s="47" t="e">
        <f>COUNTIFS(B11:B40,"オ 高等学校",C11:C40,"エ ５０歳代",#REF!,"1")</f>
        <v>#REF!</v>
      </c>
      <c r="AO56" s="47" t="e">
        <f>COUNTIFS(B11:B40,"オ 高等学校",C11:C40,"オ ６０歳代以上",#REF!,"1")</f>
        <v>#REF!</v>
      </c>
      <c r="AP56" s="47" t="e">
        <f>COUNTIFS($B$11:$B$40,"オ 高等学校",$D$11:$D$40,"ア 男性",#REF!,"1")</f>
        <v>#REF!</v>
      </c>
      <c r="AQ56" s="47" t="e">
        <f>COUNTIFS($B$11:$B$40,"オ 高等学校",$D$11:$D$40,"イ 女性",#REF!,"1")</f>
        <v>#REF!</v>
      </c>
      <c r="AR56" s="47" t="e">
        <f>SUMIF(#REF!,"１",#REF!)+SUMIF(#REF!,"１",#REF!)+SUMIF(#REF!,"１",#REF!)</f>
        <v>#REF!</v>
      </c>
      <c r="AS56" s="48" t="e">
        <f>COUNTIFS($B$11:$B$40,"オ 高等学校",I11:I40,"ア 授業中・保育中",#REF!,"1")</f>
        <v>#REF!</v>
      </c>
      <c r="AT56" s="48" t="e">
        <f>COUNTIFS($B$11:$B$40,"オ 高等学校",I11:I40,"イ 放課後",#REF!,"1")</f>
        <v>#REF!</v>
      </c>
      <c r="AU56" s="48" t="e">
        <f>COUNTIFS($B$11:$B$40,"オ 高等学校",I11:I40,"ウ 休み時間",#REF!,"1")</f>
        <v>#REF!</v>
      </c>
      <c r="AV56" s="48" t="e">
        <f>COUNTIFS($B$11:$B$40,"オ 高等学校",I11:I40,"エ 部活動",#REF!,"1")</f>
        <v>#REF!</v>
      </c>
      <c r="AW56" s="48" t="e">
        <f>COUNTIFS($B$11:$B$40,"オ 高等学校",I11:I40,"オ 学校行事",#REF!,"1")</f>
        <v>#REF!</v>
      </c>
      <c r="AX56" s="48" t="e">
        <f>COUNTIFS($B$11:$B$40,"オ 高等学校",I11:I40,"カ ホームルーム",#REF!,"1")</f>
        <v>#REF!</v>
      </c>
      <c r="AY56" s="48" t="e">
        <f>COUNTIFS($B$11:$B$40,"オ 高等学校",I11:I40,"キ その他",#REF!,"1")</f>
        <v>#REF!</v>
      </c>
      <c r="AZ56" s="48" t="e">
        <f>COUNTIFS($B$11:$B$40,"オ 高等学校",$J$11:$J$40,"ア 教室・保育室",#REF!,"1")</f>
        <v>#REF!</v>
      </c>
      <c r="BA56" s="48" t="e">
        <f>COUNTIFS($B$11:$B$40,"オ 高等学校",$J$11:$J$40,"イ 職員室",#REF!,"1")</f>
        <v>#REF!</v>
      </c>
      <c r="BB56" s="48" t="e">
        <f>COUNTIFS($B$11:$B$40,"オ 高等学校",$J$11:$J$40,"ウ 運動場・園庭、体育館・遊戯室",#REF!,"1")</f>
        <v>#REF!</v>
      </c>
      <c r="BC56" s="48" t="e">
        <f>COUNTIFS($B$11:$B$40,"オ 高等学校",$J$11:$J$40,"エ 生徒指導室",#REF!,"1")</f>
        <v>#REF!</v>
      </c>
      <c r="BD56" s="48" t="e">
        <f>COUNTIFS($B$11:$B$40,"オ 高等学校",$J$11:$J$40,"オ 廊下、階段",#REF!,"1")</f>
        <v>#REF!</v>
      </c>
      <c r="BE56" s="48" t="e">
        <f>COUNTIFS($B$11:$B$40,"オ 高等学校",$J$11:$J$40,"カ その他",#REF!,"1")</f>
        <v>#REF!</v>
      </c>
      <c r="BF56" s="48" t="e">
        <f>COUNTIFS($B$11:$B$40,"オ 高等学校",$K$11:$K$40,"ア 素手で殴る・叩く",#REF!,"1")</f>
        <v>#REF!</v>
      </c>
      <c r="BG56" s="48" t="e">
        <f>COUNTIFS($B$11:$B$40,"オ 高等学校",$K$11:$K$40,"イ 棒などで殴る・叩く",#REF!,"1")</f>
        <v>#REF!</v>
      </c>
      <c r="BH56" s="48" t="e">
        <f>COUNTIFS($B$11:$B$40,"オ 高等学校",$K$11:$K$40,"ウ 蹴る・踏みつける",#REF!,"1")</f>
        <v>#REF!</v>
      </c>
      <c r="BI56" s="48" t="e">
        <f>COUNTIFS($B$11:$B$40,"オ 高等学校",$K$11:$K$40,"エ 投げる・突き飛ばす・転倒させる",#REF!,"1")</f>
        <v>#REF!</v>
      </c>
      <c r="BJ56" s="48" t="e">
        <f>COUNTIFS($B$11:$B$40,"オ 高等学校",$K$11:$K$40,"オ つねる・ひっかく",#REF!,"1")</f>
        <v>#REF!</v>
      </c>
      <c r="BK56" s="48" t="e">
        <f>COUNTIFS($B$11:$B$40,"オ 高等学校",$K$11:$K$40,"カ 物をぶつける・投げつける",#REF!,"1")</f>
        <v>#REF!</v>
      </c>
      <c r="BL56" s="48" t="e">
        <f>COUNTIFS($B$11:$B$40,"オ 高等学校",$K$11:$K$40,"キ 長時間教室等に留め置く",#REF!,"1")</f>
        <v>#REF!</v>
      </c>
      <c r="BM56" s="48" t="e">
        <f>COUNTIFS($B$11:$B$40,"オ 高等学校",$K$11:$K$40,"ク 長時間正座など一定の姿勢を保持させる",#REF!,"1")</f>
        <v>#REF!</v>
      </c>
      <c r="BN56" s="48" t="e">
        <f>COUNTIFS($B$11:$B$40,"オ 高等学校",$K$11:$K$40,"ケ その他",#REF!,"1")</f>
        <v>#REF!</v>
      </c>
      <c r="BO56" s="48" t="e">
        <f>COUNTIFS($B$11:$B$40,"オ 高等学校",$L$11:$L$40,"ア 死亡",#REF!,"1")</f>
        <v>#REF!</v>
      </c>
      <c r="BP56" s="48" t="e">
        <f>COUNTIFS($B$11:$B$40,"オ 高等学校",$L$11:$L$40,"イ 骨折・挫折など",#REF!,"1")</f>
        <v>#REF!</v>
      </c>
      <c r="BQ56" s="48" t="e">
        <f>COUNTIFS($B$11:$B$40,"オ 高等学校",$L$11:$L$40,"ウ 鼓膜損傷",#REF!,"1")</f>
        <v>#REF!</v>
      </c>
      <c r="BR56" s="48" t="e">
        <f>COUNTIFS($B$11:$B$40,"オ 高等学校",$L$11:$L$40,"エ 外傷",#REF!,"1")</f>
        <v>#REF!</v>
      </c>
      <c r="BS56" s="48" t="e">
        <f>COUNTIFS($B$11:$B$40,"オ 高等学校",$L$11:$L$40,"オ 打撲（頭）",#REF!,"1")</f>
        <v>#REF!</v>
      </c>
      <c r="BT56" s="48" t="e">
        <f>COUNTIFS($B$11:$B$40,"オ 高等学校",$L$11:$L$40,"カ 打撲（顔）",#REF!,"1")</f>
        <v>#REF!</v>
      </c>
      <c r="BU56" s="48" t="e">
        <f>COUNTIFS($B$11:$B$40,"オ 高等学校",$L$11:$L$40,"キ 打撲（足）",#REF!,"1")</f>
        <v>#REF!</v>
      </c>
      <c r="BV56" s="48" t="e">
        <f>COUNTIFS($B$11:$B$40,"オ 高等学校",$L$11:$L$40,"ク 打撲（オ～キ以外）",#REF!,"1")</f>
        <v>#REF!</v>
      </c>
      <c r="BW56" s="48" t="e">
        <f>COUNTIFS($B$11:$B$40,"オ 高等学校",$L$11:$L$40,"ケ 鼻血",#REF!,"1")</f>
        <v>#REF!</v>
      </c>
      <c r="BX56" s="48" t="e">
        <f>COUNTIFS($B$11:$B$40,"オ 高等学校",$L$11:$L$40,"コ 髪を切られる",#REF!,"1")</f>
        <v>#REF!</v>
      </c>
      <c r="BY56" s="48" t="e">
        <f>COUNTIFS($B$11:$B$40,"オ 高等学校",$L$11:$L$40,"サ その他",#REF!,"1")</f>
        <v>#REF!</v>
      </c>
      <c r="BZ56" s="48" t="e">
        <f>COUNTIFS($B$11:$B$40,"オ 高等学校",$L$11:$L$40,"シ 傷害なし",#REF!,"1")</f>
        <v>#REF!</v>
      </c>
      <c r="CA56" s="47" t="e">
        <f>COUNTIFS($B$11:$B$40,"オ 高等学校",$M$11:$M$40,1,#REF!,1)</f>
        <v>#REF!</v>
      </c>
      <c r="CB56" s="47" t="e">
        <f>COUNTIFS($B$11:$B$40,"オ 高等学校",$N$11:$N$40,1,#REF!,1)</f>
        <v>#REF!</v>
      </c>
      <c r="CC56" s="47" t="e">
        <f>COUNTIFS($B$11:$B$40,"オ 高等学校",$O$11:$O$40,1,#REF!,1)</f>
        <v>#REF!</v>
      </c>
      <c r="CD56" s="47" t="e">
        <f>COUNTIFS($B$11:$B$40,"オ 高等学校",$P$11:$P$40,1,#REF!,1)</f>
        <v>#REF!</v>
      </c>
      <c r="CE56" s="47" t="e">
        <f>COUNTIFS($B$11:$B$40,"オ 高等学校",$Q$11:$Q$40,1,#REF!,1)</f>
        <v>#REF!</v>
      </c>
      <c r="CF56" s="47" t="e">
        <f>COUNTIFS($B$11:$B$40,"オ 高等学校",$R$11:$R$40,1,#REF!,1)</f>
        <v>#REF!</v>
      </c>
      <c r="CG56" s="47" t="e">
        <f>COUNTIFS($B$11:$B$40,"オ 高等学校",$S$11:$S$40,1,#REF!,1)</f>
        <v>#REF!</v>
      </c>
      <c r="CH56" s="47" t="e">
        <f>COUNTIFS($B$11:$B$40,"オ 高等学校",$T$11:$T$40,1,#REF!,1)</f>
        <v>#REF!</v>
      </c>
      <c r="CI56" s="47" t="e">
        <f>COUNTIFS($B$11:$B$40,"オ 高等学校",$U$11:$U$40,1,#REF!,1)</f>
        <v>#REF!</v>
      </c>
      <c r="CJ56" s="47" t="e">
        <f>COUNTIFS($B$11:$B$40,"オ 高等学校",$V$11:$V$40,1,#REF!,1)</f>
        <v>#REF!</v>
      </c>
      <c r="CK56" s="47" t="e">
        <f>COUNTIFS($B$11:$B$40,"オ 高等学校",$W$11:$W$40,1,#REF!,1)</f>
        <v>#REF!</v>
      </c>
    </row>
    <row r="57" spans="34:89" x14ac:dyDescent="0.15">
      <c r="AK57" s="50" t="s">
        <v>61</v>
      </c>
      <c r="AL57" s="50" t="s">
        <v>62</v>
      </c>
      <c r="AM57" s="50" t="s">
        <v>63</v>
      </c>
      <c r="AN57" s="50" t="s">
        <v>64</v>
      </c>
      <c r="AO57" s="51" t="s">
        <v>65</v>
      </c>
      <c r="AP57" s="50" t="s">
        <v>66</v>
      </c>
      <c r="AQ57" s="50" t="s">
        <v>67</v>
      </c>
      <c r="AR57" s="50"/>
      <c r="AS57" s="50" t="s">
        <v>68</v>
      </c>
      <c r="AT57" s="50" t="s">
        <v>69</v>
      </c>
      <c r="AU57" s="51" t="s">
        <v>70</v>
      </c>
      <c r="AV57" s="50" t="s">
        <v>71</v>
      </c>
      <c r="AW57" s="50" t="s">
        <v>72</v>
      </c>
      <c r="AX57" s="50" t="s">
        <v>73</v>
      </c>
      <c r="AY57" s="50" t="s">
        <v>74</v>
      </c>
      <c r="AZ57" s="50" t="s">
        <v>75</v>
      </c>
      <c r="BA57" s="50" t="s">
        <v>76</v>
      </c>
      <c r="BB57" s="50" t="s">
        <v>77</v>
      </c>
      <c r="BC57" s="50" t="s">
        <v>78</v>
      </c>
      <c r="BD57" s="50" t="s">
        <v>79</v>
      </c>
      <c r="BE57" s="50" t="s">
        <v>74</v>
      </c>
      <c r="BF57" s="50" t="s">
        <v>80</v>
      </c>
      <c r="BG57" s="50" t="s">
        <v>81</v>
      </c>
      <c r="BH57" s="50" t="s">
        <v>82</v>
      </c>
      <c r="BI57" s="50" t="s">
        <v>83</v>
      </c>
      <c r="BJ57" s="50" t="s">
        <v>84</v>
      </c>
      <c r="BK57" s="50" t="s">
        <v>85</v>
      </c>
      <c r="BL57" s="50" t="s">
        <v>86</v>
      </c>
      <c r="BM57" s="50" t="s">
        <v>87</v>
      </c>
      <c r="BN57" s="50" t="s">
        <v>74</v>
      </c>
      <c r="BO57" s="50" t="s">
        <v>88</v>
      </c>
      <c r="BP57" s="50" t="s">
        <v>89</v>
      </c>
      <c r="BQ57" s="51" t="s">
        <v>90</v>
      </c>
      <c r="BR57" s="50" t="s">
        <v>91</v>
      </c>
      <c r="BS57" s="50" t="s">
        <v>92</v>
      </c>
      <c r="BT57" s="50" t="s">
        <v>93</v>
      </c>
      <c r="BU57" s="50" t="s">
        <v>94</v>
      </c>
      <c r="BV57" s="50" t="s">
        <v>95</v>
      </c>
      <c r="BW57" s="50" t="s">
        <v>96</v>
      </c>
      <c r="BX57" s="50" t="s">
        <v>97</v>
      </c>
      <c r="BY57" s="50" t="s">
        <v>74</v>
      </c>
      <c r="BZ57" s="50" t="s">
        <v>98</v>
      </c>
      <c r="CA57" s="50" t="s">
        <v>99</v>
      </c>
      <c r="CB57" s="50" t="s">
        <v>100</v>
      </c>
      <c r="CC57" s="50" t="s">
        <v>101</v>
      </c>
      <c r="CD57" s="50" t="s">
        <v>102</v>
      </c>
      <c r="CE57" s="50" t="s">
        <v>74</v>
      </c>
      <c r="CF57" s="50" t="s">
        <v>103</v>
      </c>
      <c r="CG57" s="50" t="s">
        <v>104</v>
      </c>
      <c r="CH57" s="51" t="s">
        <v>105</v>
      </c>
      <c r="CI57" s="50" t="s">
        <v>106</v>
      </c>
      <c r="CJ57" s="50" t="s">
        <v>100</v>
      </c>
      <c r="CK57" s="50" t="s">
        <v>102</v>
      </c>
    </row>
    <row r="60" spans="34:89" ht="14.25" thickBot="1" x14ac:dyDescent="0.2"/>
    <row r="61" spans="34:89" ht="14.25" thickBot="1" x14ac:dyDescent="0.2">
      <c r="AH61" s="178" t="s">
        <v>2</v>
      </c>
      <c r="AI61" s="179"/>
      <c r="AJ61" s="179"/>
      <c r="AK61" s="179"/>
      <c r="AL61" s="179"/>
      <c r="AM61" s="179"/>
      <c r="AN61" s="179"/>
      <c r="AO61" s="179"/>
      <c r="AP61" s="179"/>
      <c r="AQ61" s="179"/>
      <c r="AR61" s="179"/>
      <c r="AS61" s="179"/>
      <c r="AT61" s="179"/>
      <c r="AU61" s="179"/>
      <c r="AV61" s="179"/>
      <c r="AW61" s="179"/>
      <c r="AX61" s="179"/>
      <c r="AY61" s="179"/>
      <c r="AZ61" s="179"/>
      <c r="BA61" s="179"/>
      <c r="BB61" s="179"/>
      <c r="BC61" s="179"/>
      <c r="BD61" s="179"/>
      <c r="BE61" s="179"/>
      <c r="BF61" s="179"/>
      <c r="BG61" s="179"/>
      <c r="BH61" s="179"/>
      <c r="BI61" s="179"/>
      <c r="BJ61" s="179"/>
      <c r="BK61" s="179"/>
      <c r="BL61" s="179"/>
      <c r="BM61" s="179"/>
      <c r="BN61" s="179"/>
      <c r="BO61" s="179"/>
      <c r="BP61" s="179"/>
      <c r="BQ61" s="179"/>
      <c r="BR61" s="179"/>
      <c r="BS61" s="179"/>
      <c r="BT61" s="179"/>
      <c r="BU61" s="179"/>
      <c r="BV61" s="179"/>
      <c r="BW61" s="179"/>
      <c r="BX61" s="179"/>
      <c r="BY61" s="179"/>
      <c r="BZ61" s="179"/>
      <c r="CA61" s="180"/>
    </row>
    <row r="62" spans="34:89" x14ac:dyDescent="0.15">
      <c r="AH62" s="169" t="s">
        <v>127</v>
      </c>
      <c r="AI62" s="170"/>
      <c r="AJ62" s="170"/>
      <c r="AK62" s="171"/>
      <c r="AL62" s="181" t="s">
        <v>9</v>
      </c>
      <c r="AM62" s="182"/>
      <c r="AN62" s="182"/>
      <c r="AO62" s="182"/>
      <c r="AP62" s="182"/>
      <c r="AQ62" s="183"/>
      <c r="AR62" s="187" t="s">
        <v>10</v>
      </c>
      <c r="AS62" s="188"/>
      <c r="AT62" s="189"/>
      <c r="AU62" s="187" t="s">
        <v>107</v>
      </c>
      <c r="AV62" s="192"/>
      <c r="AW62" s="192"/>
      <c r="AX62" s="192"/>
      <c r="AY62" s="192"/>
      <c r="AZ62" s="192"/>
      <c r="BA62" s="192"/>
      <c r="BB62" s="192"/>
      <c r="BC62" s="193"/>
      <c r="BD62" s="187" t="s">
        <v>11</v>
      </c>
      <c r="BE62" s="188"/>
      <c r="BF62" s="189"/>
      <c r="BG62" s="187" t="s">
        <v>12</v>
      </c>
      <c r="BH62" s="188"/>
      <c r="BI62" s="188"/>
      <c r="BJ62" s="188"/>
      <c r="BK62" s="188"/>
      <c r="BL62" s="189"/>
      <c r="BM62" s="175" t="s">
        <v>13</v>
      </c>
      <c r="BN62" s="176"/>
      <c r="BO62" s="176"/>
      <c r="BP62" s="176"/>
      <c r="BQ62" s="176"/>
      <c r="BR62" s="176"/>
      <c r="BS62" s="176"/>
      <c r="BT62" s="176"/>
      <c r="BU62" s="176"/>
      <c r="BV62" s="176"/>
      <c r="BW62" s="176"/>
      <c r="BX62" s="176"/>
      <c r="BY62" s="176"/>
      <c r="BZ62" s="176"/>
      <c r="CA62" s="177"/>
    </row>
    <row r="63" spans="34:89" x14ac:dyDescent="0.15">
      <c r="AH63" s="172"/>
      <c r="AI63" s="133"/>
      <c r="AJ63" s="133"/>
      <c r="AK63" s="173"/>
      <c r="AL63" s="184"/>
      <c r="AM63" s="185"/>
      <c r="AN63" s="185"/>
      <c r="AO63" s="185"/>
      <c r="AP63" s="185"/>
      <c r="AQ63" s="186"/>
      <c r="AR63" s="190"/>
      <c r="AS63" s="174"/>
      <c r="AT63" s="191"/>
      <c r="AU63" s="194"/>
      <c r="AV63" s="195"/>
      <c r="AW63" s="195"/>
      <c r="AX63" s="195"/>
      <c r="AY63" s="195"/>
      <c r="AZ63" s="195"/>
      <c r="BA63" s="195"/>
      <c r="BB63" s="195"/>
      <c r="BC63" s="196"/>
      <c r="BD63" s="190"/>
      <c r="BE63" s="174"/>
      <c r="BF63" s="191"/>
      <c r="BG63" s="190" t="s">
        <v>22</v>
      </c>
      <c r="BH63" s="174"/>
      <c r="BI63" s="174"/>
      <c r="BJ63" s="174" t="s">
        <v>23</v>
      </c>
      <c r="BK63" s="174"/>
      <c r="BL63" s="191"/>
      <c r="BM63" s="174" t="s">
        <v>125</v>
      </c>
      <c r="BN63" s="174"/>
      <c r="BO63" s="174"/>
      <c r="BP63" s="190" t="s">
        <v>24</v>
      </c>
      <c r="BQ63" s="174"/>
      <c r="BR63" s="174"/>
      <c r="BS63" s="174"/>
      <c r="BT63" s="174"/>
      <c r="BU63" s="174"/>
      <c r="BV63" s="174" t="s">
        <v>25</v>
      </c>
      <c r="BW63" s="174"/>
      <c r="BX63" s="174"/>
      <c r="BY63" s="174" t="s">
        <v>26</v>
      </c>
      <c r="BZ63" s="174"/>
      <c r="CA63" s="191"/>
    </row>
    <row r="64" spans="34:89" x14ac:dyDescent="0.15">
      <c r="AH64" s="60" t="s">
        <v>124</v>
      </c>
      <c r="AI64" s="59" t="s">
        <v>121</v>
      </c>
      <c r="AJ64" s="59" t="s">
        <v>122</v>
      </c>
      <c r="AK64" s="61" t="s">
        <v>123</v>
      </c>
      <c r="AL64" s="54" t="s">
        <v>111</v>
      </c>
      <c r="AM64" s="52" t="s">
        <v>112</v>
      </c>
      <c r="AN64" s="52" t="s">
        <v>113</v>
      </c>
      <c r="AO64" s="52" t="s">
        <v>114</v>
      </c>
      <c r="AP64" s="52" t="s">
        <v>115</v>
      </c>
      <c r="AQ64" s="53" t="s">
        <v>116</v>
      </c>
      <c r="AR64" s="54" t="s">
        <v>111</v>
      </c>
      <c r="AS64" s="52" t="s">
        <v>112</v>
      </c>
      <c r="AT64" s="53" t="s">
        <v>113</v>
      </c>
      <c r="AU64" s="54" t="s">
        <v>111</v>
      </c>
      <c r="AV64" s="52" t="s">
        <v>112</v>
      </c>
      <c r="AW64" s="52" t="s">
        <v>113</v>
      </c>
      <c r="AX64" s="52" t="s">
        <v>114</v>
      </c>
      <c r="AY64" s="52" t="s">
        <v>115</v>
      </c>
      <c r="AZ64" s="52" t="s">
        <v>116</v>
      </c>
      <c r="BA64" s="52" t="s">
        <v>117</v>
      </c>
      <c r="BB64" s="52" t="s">
        <v>118</v>
      </c>
      <c r="BC64" s="53" t="s">
        <v>119</v>
      </c>
      <c r="BD64" s="54" t="s">
        <v>108</v>
      </c>
      <c r="BE64" s="52" t="s">
        <v>109</v>
      </c>
      <c r="BF64" s="53" t="s">
        <v>110</v>
      </c>
      <c r="BG64" s="54" t="s">
        <v>111</v>
      </c>
      <c r="BH64" s="52" t="s">
        <v>112</v>
      </c>
      <c r="BI64" s="52" t="s">
        <v>113</v>
      </c>
      <c r="BJ64" s="52" t="s">
        <v>111</v>
      </c>
      <c r="BK64" s="52" t="s">
        <v>112</v>
      </c>
      <c r="BL64" s="53" t="s">
        <v>113</v>
      </c>
      <c r="BM64" s="52" t="s">
        <v>121</v>
      </c>
      <c r="BN64" s="52" t="s">
        <v>122</v>
      </c>
      <c r="BO64" s="52" t="s">
        <v>123</v>
      </c>
      <c r="BP64" s="54" t="s">
        <v>111</v>
      </c>
      <c r="BQ64" s="52" t="s">
        <v>112</v>
      </c>
      <c r="BR64" s="52" t="s">
        <v>113</v>
      </c>
      <c r="BS64" s="52" t="s">
        <v>114</v>
      </c>
      <c r="BT64" s="52" t="s">
        <v>115</v>
      </c>
      <c r="BU64" s="52" t="s">
        <v>116</v>
      </c>
      <c r="BV64" s="52" t="s">
        <v>111</v>
      </c>
      <c r="BW64" s="52" t="s">
        <v>112</v>
      </c>
      <c r="BX64" s="52" t="s">
        <v>113</v>
      </c>
      <c r="BY64" s="52" t="s">
        <v>111</v>
      </c>
      <c r="BZ64" s="52" t="s">
        <v>112</v>
      </c>
      <c r="CA64" s="53" t="s">
        <v>113</v>
      </c>
    </row>
    <row r="65" spans="34:79" ht="18" thickBot="1" x14ac:dyDescent="0.2">
      <c r="AH65" s="62">
        <f t="shared" ref="AH65:AK65" si="1">SUM(E11:E40)</f>
        <v>0</v>
      </c>
      <c r="AI65" s="63">
        <f t="shared" si="1"/>
        <v>0</v>
      </c>
      <c r="AJ65" s="63">
        <f t="shared" si="1"/>
        <v>0</v>
      </c>
      <c r="AK65" s="64">
        <f t="shared" si="1"/>
        <v>0</v>
      </c>
      <c r="AL65" s="65" t="e">
        <f>SUM(#REF!)</f>
        <v>#REF!</v>
      </c>
      <c r="AM65" s="63" t="e">
        <f>SUM(#REF!)</f>
        <v>#REF!</v>
      </c>
      <c r="AN65" s="63" t="e">
        <f>SUM(#REF!)</f>
        <v>#REF!</v>
      </c>
      <c r="AO65" s="63" t="e">
        <f>SUM(#REF!)</f>
        <v>#REF!</v>
      </c>
      <c r="AP65" s="63" t="e">
        <f>SUM(#REF!)</f>
        <v>#REF!</v>
      </c>
      <c r="AQ65" s="64" t="e">
        <f>SUM(#REF!)</f>
        <v>#REF!</v>
      </c>
      <c r="AR65" s="65" t="e">
        <f>SUM(#REF!)</f>
        <v>#REF!</v>
      </c>
      <c r="AS65" s="65" t="e">
        <f>SUM(#REF!)</f>
        <v>#REF!</v>
      </c>
      <c r="AT65" s="65" t="e">
        <f>SUM(#REF!)</f>
        <v>#REF!</v>
      </c>
      <c r="AU65" s="65" t="e">
        <f>SUM(#REF!)</f>
        <v>#REF!</v>
      </c>
      <c r="AV65" s="65" t="e">
        <f>SUM(#REF!)</f>
        <v>#REF!</v>
      </c>
      <c r="AW65" s="65" t="e">
        <f>SUM(#REF!)</f>
        <v>#REF!</v>
      </c>
      <c r="AX65" s="65" t="e">
        <f>SUM(#REF!)</f>
        <v>#REF!</v>
      </c>
      <c r="AY65" s="65" t="e">
        <f>SUM(#REF!)</f>
        <v>#REF!</v>
      </c>
      <c r="AZ65" s="65" t="e">
        <f>SUM(#REF!)</f>
        <v>#REF!</v>
      </c>
      <c r="BA65" s="65" t="e">
        <f>SUM(#REF!)</f>
        <v>#REF!</v>
      </c>
      <c r="BB65" s="65" t="e">
        <f>SUM(#REF!)</f>
        <v>#REF!</v>
      </c>
      <c r="BC65" s="65" t="e">
        <f>SUM(#REF!)</f>
        <v>#REF!</v>
      </c>
      <c r="BD65" s="65" t="e">
        <f>SUM(#REF!)</f>
        <v>#REF!</v>
      </c>
      <c r="BE65" s="63" t="e">
        <f>SUM(#REF!)</f>
        <v>#REF!</v>
      </c>
      <c r="BF65" s="64" t="e">
        <f>SUM(#REF!)</f>
        <v>#REF!</v>
      </c>
      <c r="BG65" s="65" t="e">
        <f>SUM(#REF!)</f>
        <v>#REF!</v>
      </c>
      <c r="BH65" s="63" t="e">
        <f>SUM(#REF!)</f>
        <v>#REF!</v>
      </c>
      <c r="BI65" s="63" t="e">
        <f>SUM(#REF!)</f>
        <v>#REF!</v>
      </c>
      <c r="BJ65" s="63" t="e">
        <f>SUM(#REF!)</f>
        <v>#REF!</v>
      </c>
      <c r="BK65" s="63" t="e">
        <f>SUM(#REF!)</f>
        <v>#REF!</v>
      </c>
      <c r="BL65" s="64" t="e">
        <f>SUM(#REF!)</f>
        <v>#REF!</v>
      </c>
      <c r="BM65" s="63" t="e">
        <f>SUM(#REF!)</f>
        <v>#REF!</v>
      </c>
      <c r="BN65" s="63" t="e">
        <f>SUM(#REF!)</f>
        <v>#REF!</v>
      </c>
      <c r="BO65" s="63" t="e">
        <f>SUM(#REF!)</f>
        <v>#REF!</v>
      </c>
      <c r="BP65" s="65" t="e">
        <f>SUM(#REF!)</f>
        <v>#REF!</v>
      </c>
      <c r="BQ65" s="63" t="e">
        <f>SUM(#REF!)</f>
        <v>#REF!</v>
      </c>
      <c r="BR65" s="63" t="e">
        <f>SUM(#REF!)</f>
        <v>#REF!</v>
      </c>
      <c r="BS65" s="63" t="e">
        <f>SUM(#REF!)</f>
        <v>#REF!</v>
      </c>
      <c r="BT65" s="63" t="e">
        <f>SUM(#REF!)</f>
        <v>#REF!</v>
      </c>
      <c r="BU65" s="63" t="e">
        <f>SUM(#REF!)</f>
        <v>#REF!</v>
      </c>
      <c r="BV65" s="63" t="e">
        <f>SUM(#REF!)</f>
        <v>#REF!</v>
      </c>
      <c r="BW65" s="63" t="e">
        <f>SUM(#REF!)</f>
        <v>#REF!</v>
      </c>
      <c r="BX65" s="63" t="e">
        <f>SUM(#REF!)</f>
        <v>#REF!</v>
      </c>
      <c r="BY65" s="63" t="e">
        <f>SUM(#REF!)</f>
        <v>#REF!</v>
      </c>
      <c r="BZ65" s="63" t="e">
        <f>SUM(#REF!)</f>
        <v>#REF!</v>
      </c>
      <c r="CA65" s="64" t="e">
        <f>SUM(#REF!)</f>
        <v>#REF!</v>
      </c>
    </row>
    <row r="66" spans="34:79" ht="18" thickBot="1" x14ac:dyDescent="0.2">
      <c r="AK66" s="66">
        <f>SUM(AH65:AK65)</f>
        <v>0</v>
      </c>
      <c r="AQ66" s="66" t="e">
        <f>SUM(AL65:AQ65)</f>
        <v>#REF!</v>
      </c>
      <c r="AS66" s="67"/>
      <c r="AT66" s="66" t="e">
        <f>SUM(AR65:AT65)</f>
        <v>#REF!</v>
      </c>
      <c r="BC66" s="68" t="e">
        <f>SUM(AU65:BC65)</f>
        <v>#REF!</v>
      </c>
      <c r="BD66" s="69"/>
      <c r="BF66" s="68" t="e">
        <f>SUM(BD65:BF65)</f>
        <v>#REF!</v>
      </c>
      <c r="BG66" s="69"/>
      <c r="BL66" s="66" t="e">
        <f>SUM(BG65:BL65)</f>
        <v>#REF!</v>
      </c>
      <c r="BO66" s="70"/>
      <c r="BP66" s="70"/>
      <c r="BZ66" s="67"/>
      <c r="CA66" s="71" t="e">
        <f>SUM(BM65:CA65)</f>
        <v>#REF!</v>
      </c>
    </row>
    <row r="67" spans="34:79" ht="14.25" thickTop="1" x14ac:dyDescent="0.15"/>
  </sheetData>
  <mergeCells count="57">
    <mergeCell ref="AH62:AK63"/>
    <mergeCell ref="BM63:BO63"/>
    <mergeCell ref="BM62:CA62"/>
    <mergeCell ref="AH61:CA61"/>
    <mergeCell ref="AL62:AQ63"/>
    <mergeCell ref="AR62:AT63"/>
    <mergeCell ref="AU62:BC63"/>
    <mergeCell ref="BD62:BF63"/>
    <mergeCell ref="BG62:BL62"/>
    <mergeCell ref="BG63:BI63"/>
    <mergeCell ref="BJ63:BL63"/>
    <mergeCell ref="BP63:BU63"/>
    <mergeCell ref="BV63:BX63"/>
    <mergeCell ref="BY63:CA63"/>
    <mergeCell ref="A1:B1"/>
    <mergeCell ref="J1:W1"/>
    <mergeCell ref="A2:B2"/>
    <mergeCell ref="C2:D2"/>
    <mergeCell ref="C1:G1"/>
    <mergeCell ref="H1:I1"/>
    <mergeCell ref="G2:I2"/>
    <mergeCell ref="L2:W2"/>
    <mergeCell ref="L7:L10"/>
    <mergeCell ref="A7:A10"/>
    <mergeCell ref="B7:D9"/>
    <mergeCell ref="M7:Q7"/>
    <mergeCell ref="E8:H9"/>
    <mergeCell ref="Q8:Q10"/>
    <mergeCell ref="R7:W7"/>
    <mergeCell ref="W8:W10"/>
    <mergeCell ref="S8:S10"/>
    <mergeCell ref="T8:T10"/>
    <mergeCell ref="U8:U10"/>
    <mergeCell ref="V8:V10"/>
    <mergeCell ref="CA45:CE46"/>
    <mergeCell ref="CF45:CK46"/>
    <mergeCell ref="AS46:AY46"/>
    <mergeCell ref="AZ46:BE46"/>
    <mergeCell ref="BF45:BN46"/>
    <mergeCell ref="AH43:AK44"/>
    <mergeCell ref="M8:M10"/>
    <mergeCell ref="N8:N10"/>
    <mergeCell ref="O8:O10"/>
    <mergeCell ref="P8:P10"/>
    <mergeCell ref="R8:R10"/>
    <mergeCell ref="BO45:BZ46"/>
    <mergeCell ref="AR45:AR47"/>
    <mergeCell ref="AS45:BE45"/>
    <mergeCell ref="AI45:AI47"/>
    <mergeCell ref="AJ45:AJ47"/>
    <mergeCell ref="AK45:AO46"/>
    <mergeCell ref="AP45:AQ46"/>
    <mergeCell ref="E7:H7"/>
    <mergeCell ref="I7:J9"/>
    <mergeCell ref="K7:K10"/>
    <mergeCell ref="E2:F2"/>
    <mergeCell ref="J2:K2"/>
  </mergeCells>
  <phoneticPr fontId="4"/>
  <dataValidations count="8">
    <dataValidation type="list" allowBlank="1" showInputMessage="1" showErrorMessage="1" sqref="M11:W40">
      <formula1>"1"</formula1>
    </dataValidation>
    <dataValidation type="list" allowBlank="1" showInputMessage="1" showErrorMessage="1" sqref="I11:I40">
      <formula1>"ア 授業中・保育中,イ 放課後,ウ 休み時間,エ 部活動,オ 学校行事,カ ホームルーム,キ その他"</formula1>
    </dataValidation>
    <dataValidation type="list" allowBlank="1" showInputMessage="1" showErrorMessage="1" sqref="J11:J40">
      <formula1>"ア 教室・保育室,イ 職員室,ウ 運動場・園庭、体育館・遊戯室,エ 生徒指導室,オ 廊下、階段,カ その他"</formula1>
    </dataValidation>
    <dataValidation type="list" allowBlank="1" showInputMessage="1" showErrorMessage="1" sqref="L11:L40">
      <formula1>"ア 死亡,イ 骨折・挫折など,ウ 鼓膜損傷,エ 外傷,オ 打撲（頭）,カ 打撲（顔）,キ 打撲（足）,ク 打撲（オ～キ以外）,ケ 鼻血,コ 髪を切られる,サ その他,シ 傷害なし"</formula1>
    </dataValidation>
    <dataValidation type="list" allowBlank="1" showInputMessage="1" showErrorMessage="1" sqref="C11:C40">
      <formula1>"ア ２０歳代,イ ３０歳代,ウ ４０歳代,エ ５０歳代,オ ６０歳代以上"</formula1>
    </dataValidation>
    <dataValidation type="list" allowBlank="1" showInputMessage="1" showErrorMessage="1" sqref="D11:D40">
      <formula1>"ア 男性,イ 女性"</formula1>
    </dataValidation>
    <dataValidation type="list" allowBlank="1" showInputMessage="1" showErrorMessage="1" sqref="K11:K40">
      <formula1>"ア 素手で殴る・叩く,イ 棒などで殴る・叩く,ウ 蹴る・踏みつける,エ 投げる・突き飛ばす・転倒させる,オ つねる・ひっかく,カ 物をぶつける・投げつける,キ 長時間教室等に留め置く,ク 長時間正座など一定の姿勢を保持させる,ケ その他"</formula1>
    </dataValidation>
    <dataValidation type="list" allowBlank="1" showInputMessage="1" showErrorMessage="1" sqref="B11:B44">
      <formula1>"ア 幼稚園,イ 小学校,ウ 中学校,エ 義務教育学校,オ 高等学校,カ 中等教育学校,キ 特別支援学校"</formula1>
    </dataValidation>
  </dataValidations>
  <printOptions horizontalCentered="1"/>
  <pageMargins left="0.25" right="0.25" top="0.75" bottom="0.75" header="0.3" footer="0.3"/>
  <pageSetup paperSize="9" scale="96" fitToHeight="0" orientation="landscape" r:id="rId1"/>
  <headerFooter alignWithMargins="0"/>
  <rowBreaks count="2" manualBreakCount="2">
    <brk id="18" max="22" man="1"/>
    <brk id="40" max="2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N21"/>
  <sheetViews>
    <sheetView view="pageBreakPreview" zoomScaleNormal="100" zoomScaleSheetLayoutView="100" workbookViewId="0">
      <selection activeCell="F18" sqref="F18"/>
    </sheetView>
  </sheetViews>
  <sheetFormatPr defaultColWidth="8.875" defaultRowHeight="18.75" x14ac:dyDescent="0.15"/>
  <cols>
    <col min="1" max="1" width="2.625" style="78" customWidth="1"/>
    <col min="2" max="2" width="9.375" style="78" customWidth="1"/>
    <col min="3" max="3" width="12.875" style="78" customWidth="1"/>
    <col min="4" max="4" width="14.375" style="78" customWidth="1"/>
    <col min="5" max="5" width="18.25" style="78" customWidth="1"/>
    <col min="6" max="6" width="21.125" style="78" customWidth="1"/>
    <col min="7" max="16384" width="8.875" style="78"/>
  </cols>
  <sheetData>
    <row r="1" spans="1:14" ht="36" customHeight="1" x14ac:dyDescent="0.15">
      <c r="A1" s="77" t="s">
        <v>140</v>
      </c>
    </row>
    <row r="2" spans="1:14" ht="19.5" thickBot="1" x14ac:dyDescent="0.2">
      <c r="N2" s="85"/>
    </row>
    <row r="3" spans="1:14" ht="24.6" customHeight="1" x14ac:dyDescent="0.15">
      <c r="B3" s="204" t="s">
        <v>132</v>
      </c>
      <c r="C3" s="206" t="s">
        <v>134</v>
      </c>
      <c r="D3" s="207"/>
      <c r="E3" s="214" t="s">
        <v>137</v>
      </c>
      <c r="F3" s="215"/>
      <c r="G3" s="208" t="s">
        <v>141</v>
      </c>
      <c r="H3" s="209"/>
      <c r="I3" s="209"/>
      <c r="J3" s="209"/>
      <c r="K3" s="209"/>
      <c r="L3" s="209"/>
      <c r="M3" s="209"/>
      <c r="N3" s="210"/>
    </row>
    <row r="4" spans="1:14" ht="34.9" customHeight="1" thickBot="1" x14ac:dyDescent="0.2">
      <c r="B4" s="205"/>
      <c r="C4" s="81" t="s">
        <v>136</v>
      </c>
      <c r="D4" s="81" t="s">
        <v>135</v>
      </c>
      <c r="E4" s="83" t="s">
        <v>138</v>
      </c>
      <c r="F4" s="84" t="s">
        <v>139</v>
      </c>
      <c r="G4" s="211"/>
      <c r="H4" s="212"/>
      <c r="I4" s="212"/>
      <c r="J4" s="212"/>
      <c r="K4" s="212"/>
      <c r="L4" s="212"/>
      <c r="M4" s="212"/>
      <c r="N4" s="213"/>
    </row>
    <row r="5" spans="1:14" ht="45" customHeight="1" x14ac:dyDescent="0.15">
      <c r="B5" s="89">
        <v>1</v>
      </c>
      <c r="C5" s="90" t="s">
        <v>149</v>
      </c>
      <c r="D5" s="82"/>
      <c r="E5" s="90"/>
      <c r="F5" s="90"/>
      <c r="G5" s="216"/>
      <c r="H5" s="217"/>
      <c r="I5" s="217"/>
      <c r="J5" s="217"/>
      <c r="K5" s="217"/>
      <c r="L5" s="217"/>
      <c r="M5" s="217"/>
      <c r="N5" s="218"/>
    </row>
    <row r="6" spans="1:14" ht="45" customHeight="1" x14ac:dyDescent="0.15">
      <c r="B6" s="73">
        <v>2</v>
      </c>
      <c r="C6" s="87" t="s">
        <v>149</v>
      </c>
      <c r="D6" s="76"/>
      <c r="E6" s="86"/>
      <c r="F6" s="86"/>
      <c r="G6" s="201"/>
      <c r="H6" s="202"/>
      <c r="I6" s="202"/>
      <c r="J6" s="202"/>
      <c r="K6" s="202"/>
      <c r="L6" s="202"/>
      <c r="M6" s="202"/>
      <c r="N6" s="203"/>
    </row>
    <row r="7" spans="1:14" ht="45" customHeight="1" x14ac:dyDescent="0.15">
      <c r="B7" s="73">
        <v>3</v>
      </c>
      <c r="C7" s="87" t="s">
        <v>149</v>
      </c>
      <c r="D7" s="76"/>
      <c r="E7" s="86"/>
      <c r="F7" s="86"/>
      <c r="G7" s="197"/>
      <c r="H7" s="197"/>
      <c r="I7" s="197"/>
      <c r="J7" s="197"/>
      <c r="K7" s="197"/>
      <c r="L7" s="197"/>
      <c r="M7" s="197"/>
      <c r="N7" s="198"/>
    </row>
    <row r="8" spans="1:14" ht="45" customHeight="1" x14ac:dyDescent="0.15">
      <c r="B8" s="73">
        <v>4</v>
      </c>
      <c r="C8" s="87" t="s">
        <v>149</v>
      </c>
      <c r="D8" s="76"/>
      <c r="E8" s="86"/>
      <c r="F8" s="86"/>
      <c r="G8" s="197"/>
      <c r="H8" s="197"/>
      <c r="I8" s="197"/>
      <c r="J8" s="197"/>
      <c r="K8" s="197"/>
      <c r="L8" s="197"/>
      <c r="M8" s="197"/>
      <c r="N8" s="198"/>
    </row>
    <row r="9" spans="1:14" ht="45" customHeight="1" x14ac:dyDescent="0.15">
      <c r="B9" s="73">
        <v>5</v>
      </c>
      <c r="C9" s="87" t="s">
        <v>149</v>
      </c>
      <c r="D9" s="76"/>
      <c r="E9" s="86"/>
      <c r="F9" s="86"/>
      <c r="G9" s="197"/>
      <c r="H9" s="197"/>
      <c r="I9" s="197"/>
      <c r="J9" s="197"/>
      <c r="K9" s="197"/>
      <c r="L9" s="197"/>
      <c r="M9" s="197"/>
      <c r="N9" s="198"/>
    </row>
    <row r="10" spans="1:14" ht="45" customHeight="1" x14ac:dyDescent="0.15">
      <c r="B10" s="73">
        <v>6</v>
      </c>
      <c r="C10" s="87" t="s">
        <v>149</v>
      </c>
      <c r="D10" s="76"/>
      <c r="E10" s="86"/>
      <c r="F10" s="86"/>
      <c r="G10" s="201"/>
      <c r="H10" s="202"/>
      <c r="I10" s="202"/>
      <c r="J10" s="202"/>
      <c r="K10" s="202"/>
      <c r="L10" s="202"/>
      <c r="M10" s="202"/>
      <c r="N10" s="203"/>
    </row>
    <row r="11" spans="1:14" ht="45" customHeight="1" x14ac:dyDescent="0.15">
      <c r="B11" s="73">
        <v>7</v>
      </c>
      <c r="C11" s="87" t="s">
        <v>149</v>
      </c>
      <c r="D11" s="76"/>
      <c r="E11" s="86"/>
      <c r="F11" s="86"/>
      <c r="G11" s="201"/>
      <c r="H11" s="202"/>
      <c r="I11" s="202"/>
      <c r="J11" s="202"/>
      <c r="K11" s="202"/>
      <c r="L11" s="202"/>
      <c r="M11" s="202"/>
      <c r="N11" s="203"/>
    </row>
    <row r="12" spans="1:14" ht="45" customHeight="1" x14ac:dyDescent="0.15">
      <c r="B12" s="73">
        <v>8</v>
      </c>
      <c r="C12" s="87" t="s">
        <v>149</v>
      </c>
      <c r="D12" s="76"/>
      <c r="E12" s="86"/>
      <c r="F12" s="86"/>
      <c r="G12" s="201"/>
      <c r="H12" s="202"/>
      <c r="I12" s="202"/>
      <c r="J12" s="202"/>
      <c r="K12" s="202"/>
      <c r="L12" s="202"/>
      <c r="M12" s="202"/>
      <c r="N12" s="203"/>
    </row>
    <row r="13" spans="1:14" ht="45" customHeight="1" x14ac:dyDescent="0.15">
      <c r="B13" s="73">
        <v>9</v>
      </c>
      <c r="C13" s="87" t="s">
        <v>149</v>
      </c>
      <c r="D13" s="76"/>
      <c r="E13" s="86"/>
      <c r="F13" s="86"/>
      <c r="G13" s="197"/>
      <c r="H13" s="197"/>
      <c r="I13" s="197"/>
      <c r="J13" s="197"/>
      <c r="K13" s="197"/>
      <c r="L13" s="197"/>
      <c r="M13" s="197"/>
      <c r="N13" s="198"/>
    </row>
    <row r="14" spans="1:14" ht="45" customHeight="1" x14ac:dyDescent="0.15">
      <c r="B14" s="73">
        <v>10</v>
      </c>
      <c r="C14" s="87" t="s">
        <v>149</v>
      </c>
      <c r="D14" s="76"/>
      <c r="E14" s="86"/>
      <c r="F14" s="86"/>
      <c r="G14" s="197"/>
      <c r="H14" s="197"/>
      <c r="I14" s="197"/>
      <c r="J14" s="197"/>
      <c r="K14" s="197"/>
      <c r="L14" s="197"/>
      <c r="M14" s="197"/>
      <c r="N14" s="198"/>
    </row>
    <row r="15" spans="1:14" ht="45" customHeight="1" x14ac:dyDescent="0.15">
      <c r="B15" s="73">
        <v>11</v>
      </c>
      <c r="C15" s="87" t="s">
        <v>149</v>
      </c>
      <c r="D15" s="76"/>
      <c r="E15" s="86"/>
      <c r="F15" s="86"/>
      <c r="G15" s="197"/>
      <c r="H15" s="197"/>
      <c r="I15" s="197"/>
      <c r="J15" s="197"/>
      <c r="K15" s="197"/>
      <c r="L15" s="197"/>
      <c r="M15" s="197"/>
      <c r="N15" s="198"/>
    </row>
    <row r="16" spans="1:14" ht="45" customHeight="1" x14ac:dyDescent="0.15">
      <c r="B16" s="73">
        <v>12</v>
      </c>
      <c r="C16" s="87" t="s">
        <v>149</v>
      </c>
      <c r="D16" s="76"/>
      <c r="E16" s="86"/>
      <c r="F16" s="86"/>
      <c r="G16" s="197"/>
      <c r="H16" s="197"/>
      <c r="I16" s="197"/>
      <c r="J16" s="197"/>
      <c r="K16" s="197"/>
      <c r="L16" s="197"/>
      <c r="M16" s="197"/>
      <c r="N16" s="198"/>
    </row>
    <row r="17" spans="2:14" ht="45" customHeight="1" x14ac:dyDescent="0.15">
      <c r="B17" s="73">
        <v>13</v>
      </c>
      <c r="C17" s="87" t="s">
        <v>149</v>
      </c>
      <c r="D17" s="76"/>
      <c r="E17" s="86"/>
      <c r="F17" s="86"/>
      <c r="G17" s="197"/>
      <c r="H17" s="197"/>
      <c r="I17" s="197"/>
      <c r="J17" s="197"/>
      <c r="K17" s="197"/>
      <c r="L17" s="197"/>
      <c r="M17" s="197"/>
      <c r="N17" s="198"/>
    </row>
    <row r="18" spans="2:14" ht="45" customHeight="1" x14ac:dyDescent="0.15">
      <c r="B18" s="73">
        <v>14</v>
      </c>
      <c r="C18" s="87" t="s">
        <v>149</v>
      </c>
      <c r="D18" s="76"/>
      <c r="E18" s="86"/>
      <c r="F18" s="86"/>
      <c r="G18" s="197"/>
      <c r="H18" s="197"/>
      <c r="I18" s="197"/>
      <c r="J18" s="197"/>
      <c r="K18" s="197"/>
      <c r="L18" s="197"/>
      <c r="M18" s="197"/>
      <c r="N18" s="198"/>
    </row>
    <row r="19" spans="2:14" ht="45" customHeight="1" thickBot="1" x14ac:dyDescent="0.2">
      <c r="B19" s="74">
        <v>15</v>
      </c>
      <c r="C19" s="91" t="s">
        <v>149</v>
      </c>
      <c r="D19" s="75"/>
      <c r="E19" s="75"/>
      <c r="F19" s="75"/>
      <c r="G19" s="199"/>
      <c r="H19" s="199"/>
      <c r="I19" s="199"/>
      <c r="J19" s="199"/>
      <c r="K19" s="199"/>
      <c r="L19" s="199"/>
      <c r="M19" s="199"/>
      <c r="N19" s="200"/>
    </row>
    <row r="20" spans="2:14" x14ac:dyDescent="0.15">
      <c r="B20" s="79"/>
    </row>
    <row r="21" spans="2:14" x14ac:dyDescent="0.15">
      <c r="B21" s="80"/>
    </row>
  </sheetData>
  <mergeCells count="19">
    <mergeCell ref="B3:B4"/>
    <mergeCell ref="C3:D3"/>
    <mergeCell ref="G3:N4"/>
    <mergeCell ref="E3:F3"/>
    <mergeCell ref="G5:N5"/>
    <mergeCell ref="G6:N6"/>
    <mergeCell ref="G7:N7"/>
    <mergeCell ref="G8:N8"/>
    <mergeCell ref="G9:N9"/>
    <mergeCell ref="G10:N10"/>
    <mergeCell ref="G16:N16"/>
    <mergeCell ref="G19:N19"/>
    <mergeCell ref="G17:N17"/>
    <mergeCell ref="G18:N18"/>
    <mergeCell ref="G11:N11"/>
    <mergeCell ref="G12:N12"/>
    <mergeCell ref="G13:N13"/>
    <mergeCell ref="G14:N14"/>
    <mergeCell ref="G15:N15"/>
  </mergeCells>
  <phoneticPr fontId="4"/>
  <dataValidations count="4">
    <dataValidation type="list" allowBlank="1" showInputMessage="1" showErrorMessage="1" sqref="E5:E19">
      <formula1>"当事者責任,監督者責任"</formula1>
    </dataValidation>
    <dataValidation type="list" allowBlank="1" showInputMessage="1" showErrorMessage="1" sqref="C5:C19">
      <formula1>"幼稚園,小学校,中学校,義務教育学校,高等学校（通信制を含む）,中等教育学校,特別支援学校（幼稚部を含む）"</formula1>
    </dataValidation>
    <dataValidation type="list" allowBlank="1" showInputMessage="1" showErrorMessage="1" sqref="D5:D19">
      <formula1>"校長又は園長,副校長又は副園長,教頭,主幹教諭,指導教諭,教諭,助教諭,養護教諭,養護助教諭,栄養教諭,講師（非常勤の者を含む）,実習助手,寄宿舎指導員"</formula1>
    </dataValidation>
    <dataValidation type="list" allowBlank="1" showInputMessage="1" showErrorMessage="1" sqref="F5:F19">
      <formula1>"懲戒解雇その他これに相当するもの,降格その他これに相当するもの,出勤停止その他これに相当するもの,減給その他これに相当するもの,上記に当てはまらない処分を行ったもの"</formula1>
    </dataValidation>
  </dataValidations>
  <pageMargins left="0.7" right="0.7" top="0.75" bottom="0.75" header="0.3" footer="0.3"/>
  <pageSetup paperSize="9" scale="57" orientation="landscape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様式１</vt:lpstr>
      <vt:lpstr>様式２</vt:lpstr>
      <vt:lpstr>様式１!Print_Area</vt:lpstr>
      <vt:lpstr>様式２!Print_Area</vt:lpstr>
      <vt:lpstr>様式１!Print_Titles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大阪府</cp:lastModifiedBy>
  <cp:lastPrinted>2023-09-29T08:28:36Z</cp:lastPrinted>
  <dcterms:created xsi:type="dcterms:W3CDTF">2021-03-04T05:09:17Z</dcterms:created>
  <dcterms:modified xsi:type="dcterms:W3CDTF">2023-09-29T08:36:48Z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2022-08-03T08:10:10Z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1d75dd1f-bd54-4d30-af2e-f8340ce2f386</vt:lpwstr>
  </property>
  <property fmtid="{D5CDD505-2E9C-101B-9397-08002B2CF9AE}" pid="8" name="MSIP_Label_d899a617-f30e-4fb8-b81c-fb6d0b94ac5b_ContentBits">
    <vt:lpwstr>0</vt:lpwstr>
  </property>
</Properties>
</file>