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G0000sv0ns101\d11268$\doc\060 施設指導G\■施設指導G（R0201～）\00 指導グループ共通\04 ホームページ関係\R070630_電子申請\2.変更後\"/>
    </mc:Choice>
  </mc:AlternateContent>
  <xr:revisionPtr revIDLastSave="0" documentId="13_ncr:1_{826C5660-1431-4902-8E36-A7C3FC09D28F}" xr6:coauthVersionLast="47" xr6:coauthVersionMax="47" xr10:uidLastSave="{00000000-0000-0000-0000-000000000000}"/>
  <bookViews>
    <workbookView xWindow="28680" yWindow="1725" windowWidth="29040" windowHeight="15990" tabRatio="885" activeTab="4" xr2:uid="{00000000-000D-0000-FFFF-FFFF00000000}"/>
  </bookViews>
  <sheets>
    <sheet name="手続き" sheetId="170" r:id="rId1"/>
    <sheet name="一覧" sheetId="155" r:id="rId2"/>
    <sheet name="一覧（取り下げ）" sheetId="207" r:id="rId3"/>
    <sheet name="別紙2" sheetId="188" r:id="rId4"/>
    <sheet name="別紙１－１ " sheetId="214" r:id="rId5"/>
    <sheet name="別紙5" sheetId="202" r:id="rId6"/>
    <sheet name="別紙6" sheetId="210" r:id="rId7"/>
    <sheet name="別紙7" sheetId="203" r:id="rId8"/>
    <sheet name="（参考資料）別紙7－2" sheetId="205" r:id="rId9"/>
    <sheet name="別紙7－3" sheetId="204" r:id="rId10"/>
    <sheet name="別紙12－２" sheetId="201" r:id="rId11"/>
    <sheet name="別紙14－4" sheetId="200" r:id="rId12"/>
    <sheet name="別紙25－2" sheetId="191" r:id="rId13"/>
    <sheet name="別紙27" sheetId="192" r:id="rId14"/>
    <sheet name="別紙28" sheetId="199" r:id="rId15"/>
    <sheet name="別紙２ 成果の確認の根拠データ" sheetId="209" r:id="rId16"/>
    <sheet name="別紙34 " sheetId="195" r:id="rId17"/>
    <sheet name="別紙35" sheetId="198" r:id="rId18"/>
    <sheet name="別紙37" sheetId="189" r:id="rId19"/>
    <sheet name="別紙37-2" sheetId="190" r:id="rId20"/>
    <sheet name="別紙38" sheetId="193" r:id="rId21"/>
    <sheet name="別紙39" sheetId="194" r:id="rId22"/>
    <sheet name="別紙40" sheetId="196" r:id="rId23"/>
    <sheet name="別紙41" sheetId="197" r:id="rId24"/>
    <sheet name="参考1" sheetId="171" r:id="rId25"/>
    <sheet name="参考2" sheetId="172" r:id="rId26"/>
    <sheet name="勤務一覧（夜勤加算用）" sheetId="211" r:id="rId27"/>
    <sheet name="勤務一覧（夜勤加算用）記入例" sheetId="212" r:id="rId28"/>
    <sheet name="別紙●24" sheetId="66" state="hidden" r:id="rId29"/>
  </sheets>
  <externalReferences>
    <externalReference r:id="rId30"/>
    <externalReference r:id="rId31"/>
    <externalReference r:id="rId32"/>
  </externalReferences>
  <definedNames>
    <definedName name="【記載例】シフト記号">#REF!</definedName>
    <definedName name="【記載例】シフト記号表">#REF!</definedName>
    <definedName name="ｋ">#N/A</definedName>
    <definedName name="_xlnm.Print_Area" localSheetId="8">'（参考資料）別紙7－2'!$A$1:$R$85</definedName>
    <definedName name="_xlnm.Print_Area" localSheetId="1">一覧!$A$1:$X$64</definedName>
    <definedName name="_xlnm.Print_Area" localSheetId="2">'一覧（取り下げ）'!$A$1:$W$61</definedName>
    <definedName name="_xlnm.Print_Area" localSheetId="26">'勤務一覧（夜勤加算用）'!$A$1:$AS$222</definedName>
    <definedName name="_xlnm.Print_Area" localSheetId="27">'勤務一覧（夜勤加算用）記入例'!$A$1:$AS$225</definedName>
    <definedName name="_xlnm.Print_Area" localSheetId="24">参考1!$A$1:$T$75</definedName>
    <definedName name="_xlnm.Print_Area" localSheetId="25">参考2!$A$1:$AF$41</definedName>
    <definedName name="_xlnm.Print_Area" localSheetId="0">手続き!$A$1:$H$76</definedName>
    <definedName name="_xlnm.Print_Area" localSheetId="28">別紙●24!$A$1:$AM$77</definedName>
    <definedName name="_xlnm.Print_Area" localSheetId="4">'別紙１－１ '!$A$1:$AF$1110</definedName>
    <definedName name="_xlnm.Print_Area" localSheetId="10">'別紙12－２'!$A$1:$AE$69</definedName>
    <definedName name="_xlnm.Print_Area" localSheetId="11">'別紙14－4'!$A$1:$AE$60</definedName>
    <definedName name="_xlnm.Print_Area" localSheetId="15">'別紙２ 成果の確認の根拠データ'!$A$1:$AB$61</definedName>
    <definedName name="_xlnm.Print_Area" localSheetId="12">'別紙25－2'!$A$1:$Z$36</definedName>
    <definedName name="_xlnm.Print_Area" localSheetId="13">別紙27!$A$1:$AC$69</definedName>
    <definedName name="_xlnm.Print_Area" localSheetId="16">'別紙34 '!$A$1:$Z$35</definedName>
    <definedName name="_xlnm.Print_Area" localSheetId="17">別紙35!$A$1:$AH$51</definedName>
    <definedName name="_xlnm.Print_Area" localSheetId="18">別紙37!$A$1:$AC$25</definedName>
    <definedName name="_xlnm.Print_Area" localSheetId="19">'別紙37-2'!$A$1:$AH$45</definedName>
    <definedName name="_xlnm.Print_Area" localSheetId="20">別紙38!$A$1:$Y$45</definedName>
    <definedName name="_xlnm.Print_Area" localSheetId="21">別紙39!$A$1:$Z$31</definedName>
    <definedName name="_xlnm.Print_Area" localSheetId="22">別紙40!$A$1:$AF$59</definedName>
    <definedName name="_xlnm.Print_Area" localSheetId="23">別紙41!$A$1:$AE$37</definedName>
    <definedName name="_xlnm.Print_Area" localSheetId="5">別紙5!$A$1:$AF$48</definedName>
    <definedName name="_xlnm.Print_Area" localSheetId="6">別紙6!$A$1:$AL$33</definedName>
    <definedName name="_xlnm.Print_Area" localSheetId="7">別紙7!$A$1:$AI$61</definedName>
    <definedName name="_xlnm.Print_Area" localSheetId="9">'別紙7－3'!$A$1:$AD$42</definedName>
    <definedName name="_xlnm.Print_Titles" localSheetId="1">一覧!$1:$18</definedName>
    <definedName name="_xlnm.Print_Titles" localSheetId="2">'一覧（取り下げ）'!$1:$18</definedName>
    <definedName name="_xlnm.Print_Titles" localSheetId="26">'勤務一覧（夜勤加算用）'!$7:$9</definedName>
    <definedName name="サービス種別">[1]サービス種類一覧!$B$4:$B$20</definedName>
    <definedName name="サービス種類">[2]サービス種類一覧!$C$4:$C$20</definedName>
    <definedName name="サービス名">#N/A</definedName>
    <definedName name="サービス名称">#N/A</definedName>
    <definedName name="シフト記号表">#REF!</definedName>
    <definedName name="その他の従業者">#REF!</definedName>
    <definedName name="だだ">#N/A</definedName>
    <definedName name="っっｋ">#N/A</definedName>
    <definedName name="っっっっｌ">#N/A</definedName>
    <definedName name="医師">#REF!</definedName>
    <definedName name="栄養士">#REF!</definedName>
    <definedName name="介護支援専門員">#REF!</definedName>
    <definedName name="介護職員">#REF!</definedName>
    <definedName name="確認">#N/A</definedName>
    <definedName name="看護職員">#REF!</definedName>
    <definedName name="管理者">#REF!</definedName>
    <definedName name="言語聴覚士">#REF!</definedName>
    <definedName name="作業療法士">#REF!</definedName>
    <definedName name="支援相談員">#REF!</definedName>
    <definedName name="事務員">#REF!</definedName>
    <definedName name="種類">[3]サービス種類一覧!$A$4:$A$20</definedName>
    <definedName name="職種">#REF!</definedName>
    <definedName name="診療放射線技師">#REF!</definedName>
    <definedName name="調理員">#REF!</definedName>
    <definedName name="薬剤師">#REF!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G5" i="214" l="1"/>
  <c r="AG8" i="214"/>
  <c r="AG10" i="214"/>
  <c r="AI10" i="214"/>
  <c r="AJ10" i="214"/>
  <c r="AK10" i="214"/>
  <c r="AG11" i="214"/>
  <c r="AI13" i="214"/>
  <c r="AI14" i="214"/>
  <c r="AI15" i="214"/>
  <c r="AI16" i="214"/>
  <c r="AI17" i="214"/>
  <c r="AI19" i="214"/>
  <c r="AI21" i="214"/>
  <c r="AI23" i="214"/>
  <c r="AI25" i="214"/>
  <c r="AI27" i="214"/>
  <c r="AI28" i="214"/>
  <c r="AI30" i="214"/>
  <c r="AI32" i="214"/>
  <c r="AI33" i="214"/>
  <c r="AI34" i="214"/>
  <c r="AG35" i="214"/>
  <c r="AI35" i="214"/>
  <c r="AJ35" i="214"/>
  <c r="AK35" i="214"/>
  <c r="AI36" i="214"/>
  <c r="AI37" i="214"/>
  <c r="AI38" i="214"/>
  <c r="AI40" i="214"/>
  <c r="AI42" i="214"/>
  <c r="AI43" i="214"/>
  <c r="AI44" i="214"/>
  <c r="AI45" i="214"/>
  <c r="AG46" i="214"/>
  <c r="AI46" i="214"/>
  <c r="AJ46" i="214"/>
  <c r="AI47" i="214"/>
  <c r="AG48" i="214"/>
  <c r="AI48" i="214"/>
  <c r="AI49" i="214"/>
  <c r="AI51" i="214"/>
  <c r="AI53" i="214"/>
  <c r="AI54" i="214"/>
  <c r="AI55" i="214"/>
  <c r="AI56" i="214"/>
  <c r="AI57" i="214"/>
  <c r="AI58" i="214"/>
  <c r="AI59" i="214"/>
  <c r="AI60" i="214"/>
  <c r="AG63" i="214"/>
  <c r="AI63" i="214"/>
  <c r="AJ63" i="214"/>
  <c r="AG64" i="214"/>
  <c r="AI64" i="214"/>
  <c r="AI65" i="214"/>
  <c r="AI66" i="214"/>
  <c r="AI68" i="214"/>
  <c r="AI70" i="214"/>
  <c r="AI71" i="214"/>
  <c r="AI73" i="214"/>
  <c r="AI74" i="214"/>
  <c r="AI75" i="214"/>
  <c r="AG76" i="214"/>
  <c r="AI76" i="214"/>
  <c r="AJ76" i="214"/>
  <c r="AI77" i="214"/>
  <c r="AI79" i="214"/>
  <c r="AI81" i="214"/>
  <c r="AI82" i="214"/>
  <c r="AG83" i="214"/>
  <c r="AI83" i="214"/>
  <c r="AJ83" i="214"/>
  <c r="AK83" i="214"/>
  <c r="AG84" i="214"/>
  <c r="AI84" i="214"/>
  <c r="AI85" i="214"/>
  <c r="AI86" i="214"/>
  <c r="AI89" i="214"/>
  <c r="AI90" i="214"/>
  <c r="AI92" i="214"/>
  <c r="AI94" i="214"/>
  <c r="AI96" i="214"/>
  <c r="AI98" i="214"/>
  <c r="AI99" i="214"/>
  <c r="AI100" i="214"/>
  <c r="AI101" i="214"/>
  <c r="AI102" i="214"/>
  <c r="AI103" i="214"/>
  <c r="AI104" i="214"/>
  <c r="AI105" i="214"/>
  <c r="AI106" i="214"/>
  <c r="AI107" i="214"/>
  <c r="AI108" i="214"/>
  <c r="AI109" i="214"/>
  <c r="AI110" i="214"/>
  <c r="AG111" i="214"/>
  <c r="AI111" i="214"/>
  <c r="AJ111" i="214"/>
  <c r="AG112" i="214"/>
  <c r="AI113" i="214"/>
  <c r="AI114" i="214"/>
  <c r="AI115" i="214"/>
  <c r="AI118" i="214"/>
  <c r="AI119" i="214"/>
  <c r="AI120" i="214"/>
  <c r="AI121" i="214"/>
  <c r="AI122" i="214"/>
  <c r="AI124" i="214"/>
  <c r="AI125" i="214"/>
  <c r="AI126" i="214"/>
  <c r="AI127" i="214"/>
  <c r="AI128" i="214"/>
  <c r="AI129" i="214"/>
  <c r="AI130" i="214"/>
  <c r="AI131" i="214"/>
  <c r="AI132" i="214"/>
  <c r="AI133" i="214"/>
  <c r="AG134" i="214"/>
  <c r="AI134" i="214"/>
  <c r="AJ134" i="214"/>
  <c r="AK134" i="214"/>
  <c r="AG135" i="214"/>
  <c r="AI135" i="214"/>
  <c r="AI136" i="214"/>
  <c r="AI137" i="214"/>
  <c r="AI138" i="214"/>
  <c r="AI139" i="214"/>
  <c r="AI140" i="214"/>
  <c r="AI142" i="214"/>
  <c r="AI143" i="214"/>
  <c r="AI144" i="214"/>
  <c r="AI145" i="214"/>
  <c r="AI146" i="214"/>
  <c r="AI147" i="214"/>
  <c r="AI148" i="214"/>
  <c r="AI149" i="214"/>
  <c r="AI150" i="214"/>
  <c r="AI151" i="214"/>
  <c r="AI153" i="214"/>
  <c r="AI154" i="214"/>
  <c r="AI155" i="214"/>
  <c r="AI156" i="214"/>
  <c r="AI157" i="214"/>
  <c r="AI158" i="214"/>
  <c r="AI159" i="214"/>
  <c r="AI161" i="214"/>
  <c r="AI163" i="214"/>
  <c r="AI165" i="214"/>
  <c r="AG166" i="214"/>
  <c r="AH166" i="214"/>
  <c r="AI166" i="214"/>
  <c r="AJ166" i="214"/>
  <c r="AG167" i="214"/>
  <c r="AI167" i="214"/>
  <c r="AI169" i="214"/>
  <c r="AI170" i="214"/>
  <c r="AI171" i="214"/>
  <c r="AI172" i="214"/>
  <c r="AI173" i="214"/>
  <c r="AI174" i="214"/>
  <c r="AI175" i="214"/>
  <c r="AI176" i="214"/>
  <c r="AI177" i="214"/>
  <c r="AI178" i="214"/>
  <c r="AI179" i="214"/>
  <c r="AI180" i="214"/>
  <c r="AI181" i="214"/>
  <c r="AI182" i="214"/>
  <c r="AI183" i="214"/>
  <c r="AI184" i="214"/>
  <c r="AI186" i="214"/>
  <c r="AG187" i="214"/>
  <c r="AH187" i="214"/>
  <c r="AI187" i="214"/>
  <c r="AJ187" i="214"/>
  <c r="AG188" i="214"/>
  <c r="AI188" i="214"/>
  <c r="AI190" i="214"/>
  <c r="AI191" i="214"/>
  <c r="AI192" i="214"/>
  <c r="AI193" i="214"/>
  <c r="AI194" i="214"/>
  <c r="AI195" i="214"/>
  <c r="AI196" i="214"/>
  <c r="AI197" i="214"/>
  <c r="AI198" i="214"/>
  <c r="AI199" i="214"/>
  <c r="AI200" i="214"/>
  <c r="AI201" i="214"/>
  <c r="AI202" i="214"/>
  <c r="AI203" i="214"/>
  <c r="AI204" i="214"/>
  <c r="AI206" i="214"/>
  <c r="AG207" i="214"/>
  <c r="AI207" i="214"/>
  <c r="AJ207" i="214"/>
  <c r="AG208" i="214"/>
  <c r="AI208" i="214"/>
  <c r="AI210" i="214"/>
  <c r="AI211" i="214"/>
  <c r="AI212" i="214"/>
  <c r="AI213" i="214"/>
  <c r="AI214" i="214"/>
  <c r="AI215" i="214"/>
  <c r="AI216" i="214"/>
  <c r="AI217" i="214"/>
  <c r="AI218" i="214"/>
  <c r="AI219" i="214"/>
  <c r="AI220" i="214"/>
  <c r="AI221" i="214"/>
  <c r="AI222" i="214"/>
  <c r="AI223" i="214"/>
  <c r="AI224" i="214"/>
  <c r="AI225" i="214"/>
  <c r="AI226" i="214"/>
  <c r="AI227" i="214"/>
  <c r="AI228" i="214"/>
  <c r="AI230" i="214"/>
  <c r="AG231" i="214"/>
  <c r="AI231" i="214"/>
  <c r="AJ231" i="214"/>
  <c r="AG232" i="214"/>
  <c r="AI232" i="214"/>
  <c r="AI234" i="214"/>
  <c r="AI235" i="214"/>
  <c r="AI236" i="214"/>
  <c r="AI237" i="214"/>
  <c r="AI238" i="214"/>
  <c r="AI239" i="214"/>
  <c r="AI240" i="214"/>
  <c r="AI241" i="214"/>
  <c r="AI242" i="214"/>
  <c r="AI243" i="214"/>
  <c r="AI244" i="214"/>
  <c r="AI245" i="214"/>
  <c r="AI246" i="214"/>
  <c r="AI247" i="214"/>
  <c r="AI248" i="214"/>
  <c r="AI249" i="214"/>
  <c r="AI250" i="214"/>
  <c r="AI251" i="214"/>
  <c r="AI253" i="214"/>
  <c r="AG254" i="214"/>
  <c r="AI254" i="214"/>
  <c r="AJ254" i="214"/>
  <c r="AG255" i="214"/>
  <c r="AI255" i="214"/>
  <c r="AI257" i="214"/>
  <c r="AI258" i="214"/>
  <c r="AI259" i="214"/>
  <c r="AI260" i="214"/>
  <c r="AI261" i="214"/>
  <c r="AI262" i="214"/>
  <c r="AI263" i="214"/>
  <c r="AI264" i="214"/>
  <c r="AI265" i="214"/>
  <c r="AI266" i="214"/>
  <c r="AI267" i="214"/>
  <c r="AI268" i="214"/>
  <c r="AI269" i="214"/>
  <c r="AI270" i="214"/>
  <c r="AI271" i="214"/>
  <c r="AI273" i="214"/>
  <c r="AG274" i="214"/>
  <c r="AI274" i="214"/>
  <c r="AJ274" i="214"/>
  <c r="AG275" i="214"/>
  <c r="AI275" i="214"/>
  <c r="AI277" i="214"/>
  <c r="AI278" i="214"/>
  <c r="AI279" i="214"/>
  <c r="AI280" i="214"/>
  <c r="AI281" i="214"/>
  <c r="AI282" i="214"/>
  <c r="AI283" i="214"/>
  <c r="AI284" i="214"/>
  <c r="AI285" i="214"/>
  <c r="AI286" i="214"/>
  <c r="AI287" i="214"/>
  <c r="AI288" i="214"/>
  <c r="AI289" i="214"/>
  <c r="AI290" i="214"/>
  <c r="AI292" i="214"/>
  <c r="AG293" i="214"/>
  <c r="AH293" i="214"/>
  <c r="AI293" i="214"/>
  <c r="AJ293" i="214"/>
  <c r="AG294" i="214"/>
  <c r="AI295" i="214"/>
  <c r="AI296" i="214"/>
  <c r="AI297" i="214"/>
  <c r="AI298" i="214"/>
  <c r="AI299" i="214"/>
  <c r="AI300" i="214"/>
  <c r="AI301" i="214"/>
  <c r="AI302" i="214"/>
  <c r="AI303" i="214"/>
  <c r="AI304" i="214"/>
  <c r="AI305" i="214"/>
  <c r="AI306" i="214"/>
  <c r="AI307" i="214"/>
  <c r="AI309" i="214"/>
  <c r="AI311" i="214"/>
  <c r="AI312" i="214"/>
  <c r="AI314" i="214"/>
  <c r="AG315" i="214"/>
  <c r="AH315" i="214"/>
  <c r="AI315" i="214"/>
  <c r="AJ315" i="214"/>
  <c r="AG316" i="214"/>
  <c r="AI317" i="214"/>
  <c r="AI318" i="214"/>
  <c r="AI319" i="214"/>
  <c r="AI320" i="214"/>
  <c r="AI321" i="214"/>
  <c r="AI322" i="214"/>
  <c r="AI323" i="214"/>
  <c r="AI324" i="214"/>
  <c r="AI325" i="214"/>
  <c r="AI326" i="214"/>
  <c r="AI327" i="214"/>
  <c r="AI328" i="214"/>
  <c r="AI329" i="214"/>
  <c r="AI330" i="214"/>
  <c r="AI332" i="214"/>
  <c r="AI334" i="214"/>
  <c r="AI335" i="214"/>
  <c r="AI337" i="214"/>
  <c r="AG338" i="214"/>
  <c r="AH338" i="214"/>
  <c r="AI338" i="214"/>
  <c r="AJ338" i="214"/>
  <c r="AG339" i="214"/>
  <c r="AI340" i="214"/>
  <c r="AI341" i="214"/>
  <c r="AI342" i="214"/>
  <c r="AI343" i="214"/>
  <c r="AI344" i="214"/>
  <c r="AI345" i="214"/>
  <c r="AI346" i="214"/>
  <c r="AI347" i="214"/>
  <c r="AI348" i="214"/>
  <c r="AI349" i="214"/>
  <c r="AI350" i="214"/>
  <c r="AI351" i="214"/>
  <c r="AI352" i="214"/>
  <c r="AI353" i="214"/>
  <c r="AI355" i="214"/>
  <c r="AI357" i="214"/>
  <c r="AI358" i="214"/>
  <c r="AI360" i="214"/>
  <c r="AG361" i="214"/>
  <c r="AH361" i="214"/>
  <c r="AI361" i="214"/>
  <c r="AJ361" i="214"/>
  <c r="AG362" i="214"/>
  <c r="AI362" i="214"/>
  <c r="AI363" i="214"/>
  <c r="AI364" i="214"/>
  <c r="AI365" i="214"/>
  <c r="AI366" i="214"/>
  <c r="AI367" i="214"/>
  <c r="AI368" i="214"/>
  <c r="AI369" i="214"/>
  <c r="AI370" i="214"/>
  <c r="AI371" i="214"/>
  <c r="AI373" i="214"/>
  <c r="AI374" i="214"/>
  <c r="AI376" i="214"/>
  <c r="AI377" i="214"/>
  <c r="AI379" i="214"/>
  <c r="AG380" i="214"/>
  <c r="AH380" i="214"/>
  <c r="AI380" i="214"/>
  <c r="AJ380" i="214"/>
  <c r="AG381" i="214"/>
  <c r="AI381" i="214"/>
  <c r="AI382" i="214"/>
  <c r="AI383" i="214"/>
  <c r="AI384" i="214"/>
  <c r="AI385" i="214"/>
  <c r="AI386" i="214"/>
  <c r="AI387" i="214"/>
  <c r="AI388" i="214"/>
  <c r="AI389" i="214"/>
  <c r="AI390" i="214"/>
  <c r="AI391" i="214"/>
  <c r="AI392" i="214"/>
  <c r="AI394" i="214"/>
  <c r="AI396" i="214"/>
  <c r="AI397" i="214"/>
  <c r="AI399" i="214"/>
  <c r="AG400" i="214"/>
  <c r="AH400" i="214"/>
  <c r="AI400" i="214"/>
  <c r="AJ400" i="214"/>
  <c r="AG401" i="214"/>
  <c r="AI402" i="214"/>
  <c r="AI404" i="214"/>
  <c r="AI405" i="214"/>
  <c r="AI406" i="214"/>
  <c r="AI407" i="214"/>
  <c r="AI408" i="214"/>
  <c r="AI409" i="214"/>
  <c r="AI410" i="214"/>
  <c r="AI411" i="214"/>
  <c r="AI412" i="214"/>
  <c r="AI413" i="214"/>
  <c r="AI414" i="214"/>
  <c r="AI415" i="214"/>
  <c r="AI417" i="214"/>
  <c r="AI419" i="214"/>
  <c r="AI420" i="214"/>
  <c r="AI421" i="214"/>
  <c r="AI423" i="214"/>
  <c r="AG424" i="214"/>
  <c r="AH424" i="214"/>
  <c r="AI424" i="214"/>
  <c r="AJ424" i="214"/>
  <c r="AG425" i="214"/>
  <c r="AI426" i="214"/>
  <c r="AI428" i="214"/>
  <c r="AI429" i="214"/>
  <c r="AI430" i="214"/>
  <c r="AI431" i="214"/>
  <c r="AI432" i="214"/>
  <c r="AI433" i="214"/>
  <c r="AI434" i="214"/>
  <c r="AI435" i="214"/>
  <c r="AI436" i="214"/>
  <c r="AI437" i="214"/>
  <c r="AI438" i="214"/>
  <c r="AI439" i="214"/>
  <c r="AI440" i="214"/>
  <c r="AI442" i="214"/>
  <c r="AI444" i="214"/>
  <c r="AI445" i="214"/>
  <c r="AI446" i="214"/>
  <c r="AI448" i="214"/>
  <c r="AG449" i="214"/>
  <c r="AH449" i="214"/>
  <c r="AI449" i="214"/>
  <c r="AJ449" i="214"/>
  <c r="AG450" i="214"/>
  <c r="AI451" i="214"/>
  <c r="AI453" i="214"/>
  <c r="AI454" i="214"/>
  <c r="AI455" i="214"/>
  <c r="AI456" i="214"/>
  <c r="AI457" i="214"/>
  <c r="AI458" i="214"/>
  <c r="AI459" i="214"/>
  <c r="AI460" i="214"/>
  <c r="AI461" i="214"/>
  <c r="AI462" i="214"/>
  <c r="AI463" i="214"/>
  <c r="AI464" i="214"/>
  <c r="AI465" i="214"/>
  <c r="AI466" i="214"/>
  <c r="AI468" i="214"/>
  <c r="AG469" i="214"/>
  <c r="AH469" i="214"/>
  <c r="AI469" i="214"/>
  <c r="AJ469" i="214"/>
  <c r="AG470" i="214"/>
  <c r="AI471" i="214"/>
  <c r="AI473" i="214"/>
  <c r="AI474" i="214"/>
  <c r="AI475" i="214"/>
  <c r="AI476" i="214"/>
  <c r="AI477" i="214"/>
  <c r="AI478" i="214"/>
  <c r="AI479" i="214"/>
  <c r="AI480" i="214"/>
  <c r="AI481" i="214"/>
  <c r="AI482" i="214"/>
  <c r="AI483" i="214"/>
  <c r="AI484" i="214"/>
  <c r="AI485" i="214"/>
  <c r="AI486" i="214"/>
  <c r="AI487" i="214"/>
  <c r="AI489" i="214"/>
  <c r="AG490" i="214"/>
  <c r="AH490" i="214"/>
  <c r="AI490" i="214"/>
  <c r="AJ490" i="214"/>
  <c r="AG491" i="214"/>
  <c r="AI492" i="214"/>
  <c r="AI494" i="214"/>
  <c r="AI495" i="214"/>
  <c r="AI496" i="214"/>
  <c r="AI497" i="214"/>
  <c r="AI498" i="214"/>
  <c r="AI499" i="214"/>
  <c r="AI500" i="214"/>
  <c r="AI501" i="214"/>
  <c r="AI502" i="214"/>
  <c r="AI503" i="214"/>
  <c r="AI504" i="214"/>
  <c r="AI505" i="214"/>
  <c r="AI506" i="214"/>
  <c r="AI508" i="214"/>
  <c r="AI510" i="214"/>
  <c r="AI511" i="214"/>
  <c r="AI512" i="214"/>
  <c r="AI514" i="214"/>
  <c r="AG515" i="214"/>
  <c r="AI515" i="214"/>
  <c r="AJ515" i="214"/>
  <c r="AG516" i="214"/>
  <c r="AI517" i="214"/>
  <c r="AI519" i="214"/>
  <c r="AI520" i="214"/>
  <c r="AI521" i="214"/>
  <c r="AI522" i="214"/>
  <c r="AI523" i="214"/>
  <c r="AI524" i="214"/>
  <c r="AI525" i="214"/>
  <c r="AI526" i="214"/>
  <c r="AI527" i="214"/>
  <c r="AI528" i="214"/>
  <c r="AI529" i="214"/>
  <c r="AI530" i="214"/>
  <c r="AI531" i="214"/>
  <c r="AI533" i="214"/>
  <c r="AI535" i="214"/>
  <c r="AI536" i="214"/>
  <c r="AI537" i="214"/>
  <c r="AI539" i="214"/>
  <c r="AG540" i="214"/>
  <c r="AH540" i="214"/>
  <c r="AI540" i="214"/>
  <c r="AJ540" i="214"/>
  <c r="AG541" i="214"/>
  <c r="AI542" i="214"/>
  <c r="AI544" i="214"/>
  <c r="AI545" i="214"/>
  <c r="AI546" i="214"/>
  <c r="AI547" i="214"/>
  <c r="AI548" i="214"/>
  <c r="AI549" i="214"/>
  <c r="AI550" i="214"/>
  <c r="AI551" i="214"/>
  <c r="AI552" i="214"/>
  <c r="AI553" i="214"/>
  <c r="AI554" i="214"/>
  <c r="AI555" i="214"/>
  <c r="AI556" i="214"/>
  <c r="AI557" i="214"/>
  <c r="AI558" i="214"/>
  <c r="AI560" i="214"/>
  <c r="AG561" i="214"/>
  <c r="AH561" i="214"/>
  <c r="AI561" i="214"/>
  <c r="AJ561" i="214"/>
  <c r="AK561" i="214"/>
  <c r="AG562" i="214"/>
  <c r="AI562" i="214"/>
  <c r="AI563" i="214"/>
  <c r="AI564" i="214"/>
  <c r="AI565" i="214"/>
  <c r="AI566" i="214"/>
  <c r="AI567" i="214"/>
  <c r="AI568" i="214"/>
  <c r="AI569" i="214"/>
  <c r="AI570" i="214"/>
  <c r="AI571" i="214"/>
  <c r="AI572" i="214"/>
  <c r="AI573" i="214"/>
  <c r="AI574" i="214"/>
  <c r="AI575" i="214"/>
  <c r="AI576" i="214"/>
  <c r="AI577" i="214"/>
  <c r="AI578" i="214"/>
  <c r="AI579" i="214"/>
  <c r="AG580" i="214"/>
  <c r="AI580" i="214"/>
  <c r="AJ580" i="214"/>
  <c r="AK580" i="214"/>
  <c r="AG581" i="214"/>
  <c r="AI581" i="214"/>
  <c r="AI582" i="214"/>
  <c r="AI583" i="214"/>
  <c r="AI584" i="214"/>
  <c r="AI585" i="214"/>
  <c r="AI586" i="214"/>
  <c r="AI587" i="214"/>
  <c r="AI588" i="214"/>
  <c r="AI589" i="214"/>
  <c r="AI590" i="214"/>
  <c r="AG591" i="214"/>
  <c r="AI591" i="214"/>
  <c r="AJ591" i="214"/>
  <c r="AI592" i="214"/>
  <c r="AI593" i="214"/>
  <c r="AI595" i="214"/>
  <c r="AG597" i="214"/>
  <c r="AI597" i="214"/>
  <c r="AJ597" i="214"/>
  <c r="AI599" i="214"/>
  <c r="AI600" i="214"/>
  <c r="AI602" i="214"/>
  <c r="AI604" i="214"/>
  <c r="AI605" i="214"/>
  <c r="AI606" i="214"/>
  <c r="AI607" i="214"/>
  <c r="AG608" i="214"/>
  <c r="AI608" i="214"/>
  <c r="AJ608" i="214"/>
  <c r="AK608" i="214"/>
  <c r="AG609" i="214"/>
  <c r="AI609" i="214"/>
  <c r="AI610" i="214"/>
  <c r="AI611" i="214"/>
  <c r="AI612" i="214"/>
  <c r="AI613" i="214"/>
  <c r="AI614" i="214"/>
  <c r="AI615" i="214"/>
  <c r="AI616" i="214"/>
  <c r="AI617" i="214"/>
  <c r="AI618" i="214"/>
  <c r="AI619" i="214"/>
  <c r="AI620" i="214"/>
  <c r="AI621" i="214"/>
  <c r="AI622" i="214"/>
  <c r="AI623" i="214"/>
  <c r="AI624" i="214"/>
  <c r="AI625" i="214"/>
  <c r="AI626" i="214"/>
  <c r="AI627" i="214"/>
  <c r="AI628" i="214"/>
  <c r="AI629" i="214"/>
  <c r="AI630" i="214"/>
  <c r="AI631" i="214"/>
  <c r="AI632" i="214"/>
  <c r="AI633" i="214"/>
  <c r="AI634" i="214"/>
  <c r="AI635" i="214"/>
  <c r="AI636" i="214"/>
  <c r="AI637" i="214"/>
  <c r="AI638" i="214"/>
  <c r="AI639" i="214"/>
  <c r="AI640" i="214"/>
  <c r="AI641" i="214"/>
  <c r="AI642" i="214"/>
  <c r="AI643" i="214"/>
  <c r="AI644" i="214"/>
  <c r="AI645" i="214"/>
  <c r="AI646" i="214"/>
  <c r="AG647" i="214"/>
  <c r="AH647" i="214"/>
  <c r="AI647" i="214"/>
  <c r="AJ647" i="214"/>
  <c r="AG648" i="214"/>
  <c r="AI648" i="214"/>
  <c r="AI651" i="214"/>
  <c r="AI652" i="214"/>
  <c r="AI653" i="214"/>
  <c r="AI654" i="214"/>
  <c r="AI655" i="214"/>
  <c r="AI656" i="214"/>
  <c r="AI657" i="214"/>
  <c r="AI658" i="214"/>
  <c r="AI659" i="214"/>
  <c r="AI660" i="214"/>
  <c r="AI661" i="214"/>
  <c r="AI662" i="214"/>
  <c r="AI663" i="214"/>
  <c r="AI664" i="214"/>
  <c r="AI665" i="214"/>
  <c r="AI666" i="214"/>
  <c r="AI667" i="214"/>
  <c r="AI668" i="214"/>
  <c r="AI669" i="214"/>
  <c r="AI670" i="214"/>
  <c r="AI671" i="214"/>
  <c r="AI672" i="214"/>
  <c r="AI673" i="214"/>
  <c r="AI674" i="214"/>
  <c r="AI675" i="214"/>
  <c r="AI676" i="214"/>
  <c r="AI677" i="214"/>
  <c r="AI678" i="214"/>
  <c r="AG679" i="214"/>
  <c r="AH679" i="214"/>
  <c r="AI679" i="214"/>
  <c r="AJ679" i="214"/>
  <c r="AG680" i="214"/>
  <c r="AI680" i="214"/>
  <c r="AI683" i="214"/>
  <c r="AI684" i="214"/>
  <c r="AI685" i="214"/>
  <c r="AI686" i="214"/>
  <c r="AI687" i="214"/>
  <c r="AI688" i="214"/>
  <c r="AI689" i="214"/>
  <c r="AI690" i="214"/>
  <c r="AI691" i="214"/>
  <c r="AI692" i="214"/>
  <c r="AI693" i="214"/>
  <c r="AI694" i="214"/>
  <c r="AI695" i="214"/>
  <c r="AI696" i="214"/>
  <c r="AI697" i="214"/>
  <c r="AI698" i="214"/>
  <c r="AI699" i="214"/>
  <c r="AI700" i="214"/>
  <c r="AI701" i="214"/>
  <c r="AI702" i="214"/>
  <c r="AI703" i="214"/>
  <c r="AI704" i="214"/>
  <c r="AI705" i="214"/>
  <c r="AI706" i="214"/>
  <c r="AI707" i="214"/>
  <c r="AI708" i="214"/>
  <c r="AI709" i="214"/>
  <c r="AG710" i="214"/>
  <c r="AI710" i="214"/>
  <c r="AJ710" i="214"/>
  <c r="AG711" i="214"/>
  <c r="AI711" i="214"/>
  <c r="AI714" i="214"/>
  <c r="AI715" i="214"/>
  <c r="AI716" i="214"/>
  <c r="AI717" i="214"/>
  <c r="AI718" i="214"/>
  <c r="AI719" i="214"/>
  <c r="AI720" i="214"/>
  <c r="AI721" i="214"/>
  <c r="AI722" i="214"/>
  <c r="AI723" i="214"/>
  <c r="AI724" i="214"/>
  <c r="AI725" i="214"/>
  <c r="AI726" i="214"/>
  <c r="AI727" i="214"/>
  <c r="AI728" i="214"/>
  <c r="AI729" i="214"/>
  <c r="AI730" i="214"/>
  <c r="AI731" i="214"/>
  <c r="AI732" i="214"/>
  <c r="AI733" i="214"/>
  <c r="AI735" i="214"/>
  <c r="AI736" i="214"/>
  <c r="AI737" i="214"/>
  <c r="AI738" i="214"/>
  <c r="AI739" i="214"/>
  <c r="AI740" i="214"/>
  <c r="AI741" i="214"/>
  <c r="AI742" i="214"/>
  <c r="AI743" i="214"/>
  <c r="AI744" i="214"/>
  <c r="AG745" i="214"/>
  <c r="AI745" i="214"/>
  <c r="AJ745" i="214"/>
  <c r="AG746" i="214"/>
  <c r="AI746" i="214"/>
  <c r="AI749" i="214"/>
  <c r="AI750" i="214"/>
  <c r="AI751" i="214"/>
  <c r="AI752" i="214"/>
  <c r="AI753" i="214"/>
  <c r="AI754" i="214"/>
  <c r="AI755" i="214"/>
  <c r="AI756" i="214"/>
  <c r="AI757" i="214"/>
  <c r="AI758" i="214"/>
  <c r="AI759" i="214"/>
  <c r="AI760" i="214"/>
  <c r="AI761" i="214"/>
  <c r="AI762" i="214"/>
  <c r="AI763" i="214"/>
  <c r="AI764" i="214"/>
  <c r="AI765" i="214"/>
  <c r="AI766" i="214"/>
  <c r="AI767" i="214"/>
  <c r="AI769" i="214"/>
  <c r="AI770" i="214"/>
  <c r="AI771" i="214"/>
  <c r="AI772" i="214"/>
  <c r="AI773" i="214"/>
  <c r="AI774" i="214"/>
  <c r="AI775" i="214"/>
  <c r="AI776" i="214"/>
  <c r="AI777" i="214"/>
  <c r="AI778" i="214"/>
  <c r="AG779" i="214"/>
  <c r="AI779" i="214"/>
  <c r="AJ779" i="214"/>
  <c r="AG780" i="214"/>
  <c r="AI780" i="214"/>
  <c r="AI783" i="214"/>
  <c r="AI784" i="214"/>
  <c r="AI785" i="214"/>
  <c r="AI786" i="214"/>
  <c r="AI787" i="214"/>
  <c r="AI788" i="214"/>
  <c r="AI790" i="214"/>
  <c r="AI791" i="214"/>
  <c r="AI792" i="214"/>
  <c r="AI793" i="214"/>
  <c r="AI794" i="214"/>
  <c r="AI795" i="214"/>
  <c r="AI796" i="214"/>
  <c r="AI797" i="214"/>
  <c r="AI798" i="214"/>
  <c r="AI799" i="214"/>
  <c r="AI800" i="214"/>
  <c r="AI801" i="214"/>
  <c r="AI802" i="214"/>
  <c r="AI803" i="214"/>
  <c r="AG804" i="214"/>
  <c r="AI804" i="214"/>
  <c r="AJ804" i="214"/>
  <c r="AG805" i="214"/>
  <c r="AI805" i="214"/>
  <c r="AI808" i="214"/>
  <c r="AI809" i="214"/>
  <c r="AI810" i="214"/>
  <c r="AI811" i="214"/>
  <c r="AI812" i="214"/>
  <c r="AI813" i="214"/>
  <c r="AI815" i="214"/>
  <c r="AI816" i="214"/>
  <c r="AI817" i="214"/>
  <c r="AI818" i="214"/>
  <c r="AI819" i="214"/>
  <c r="AI820" i="214"/>
  <c r="AI821" i="214"/>
  <c r="AI822" i="214"/>
  <c r="AI823" i="214"/>
  <c r="AI824" i="214"/>
  <c r="AI825" i="214"/>
  <c r="AI826" i="214"/>
  <c r="AI827" i="214"/>
  <c r="AG828" i="214"/>
  <c r="AH828" i="214"/>
  <c r="AI828" i="214"/>
  <c r="AJ828" i="214"/>
  <c r="AG829" i="214"/>
  <c r="AI830" i="214"/>
  <c r="AI832" i="214"/>
  <c r="AI833" i="214"/>
  <c r="AI834" i="214"/>
  <c r="AI835" i="214"/>
  <c r="AI836" i="214"/>
  <c r="AI838" i="214"/>
  <c r="AI839" i="214"/>
  <c r="AI840" i="214"/>
  <c r="AI841" i="214"/>
  <c r="AI842" i="214"/>
  <c r="AI843" i="214"/>
  <c r="AI845" i="214"/>
  <c r="AI847" i="214"/>
  <c r="AI849" i="214"/>
  <c r="AI850" i="214"/>
  <c r="AI851" i="214"/>
  <c r="AI852" i="214"/>
  <c r="AI853" i="214"/>
  <c r="AI854" i="214"/>
  <c r="AI855" i="214"/>
  <c r="AI856" i="214"/>
  <c r="AI857" i="214"/>
  <c r="AI858" i="214"/>
  <c r="AI859" i="214"/>
  <c r="AI860" i="214"/>
  <c r="AI861" i="214"/>
  <c r="AG862" i="214"/>
  <c r="AH862" i="214"/>
  <c r="AI862" i="214"/>
  <c r="AJ862" i="214"/>
  <c r="AG863" i="214"/>
  <c r="AI864" i="214"/>
  <c r="AI866" i="214"/>
  <c r="AI867" i="214"/>
  <c r="AI868" i="214"/>
  <c r="AI869" i="214"/>
  <c r="AI870" i="214"/>
  <c r="AI872" i="214"/>
  <c r="AI873" i="214"/>
  <c r="AI874" i="214"/>
  <c r="AI875" i="214"/>
  <c r="AI876" i="214"/>
  <c r="AI877" i="214"/>
  <c r="AI878" i="214"/>
  <c r="AI880" i="214"/>
  <c r="AI882" i="214"/>
  <c r="AI884" i="214"/>
  <c r="AI885" i="214"/>
  <c r="AI886" i="214"/>
  <c r="AI887" i="214"/>
  <c r="AI888" i="214"/>
  <c r="AI889" i="214"/>
  <c r="AI890" i="214"/>
  <c r="AI891" i="214"/>
  <c r="AI892" i="214"/>
  <c r="AI893" i="214"/>
  <c r="AI894" i="214"/>
  <c r="AI895" i="214"/>
  <c r="AI896" i="214"/>
  <c r="AG897" i="214"/>
  <c r="AH897" i="214"/>
  <c r="AI897" i="214"/>
  <c r="AJ897" i="214"/>
  <c r="AG898" i="214"/>
  <c r="AI899" i="214"/>
  <c r="AI901" i="214"/>
  <c r="AI902" i="214"/>
  <c r="AI903" i="214"/>
  <c r="AI904" i="214"/>
  <c r="AI905" i="214"/>
  <c r="AI907" i="214"/>
  <c r="AI908" i="214"/>
  <c r="AI909" i="214"/>
  <c r="AI910" i="214"/>
  <c r="AI911" i="214"/>
  <c r="AI912" i="214"/>
  <c r="AI913" i="214"/>
  <c r="AI914" i="214"/>
  <c r="AI915" i="214"/>
  <c r="AI916" i="214"/>
  <c r="AI917" i="214"/>
  <c r="AI918" i="214"/>
  <c r="AI919" i="214"/>
  <c r="AG920" i="214"/>
  <c r="AH920" i="214"/>
  <c r="AI920" i="214"/>
  <c r="AJ920" i="214"/>
  <c r="AG921" i="214"/>
  <c r="AI922" i="214"/>
  <c r="AI924" i="214"/>
  <c r="AI925" i="214"/>
  <c r="AI926" i="214"/>
  <c r="AI927" i="214"/>
  <c r="AI928" i="214"/>
  <c r="AI930" i="214"/>
  <c r="AI931" i="214"/>
  <c r="AI932" i="214"/>
  <c r="AI933" i="214"/>
  <c r="AI934" i="214"/>
  <c r="AI935" i="214"/>
  <c r="AI936" i="214"/>
  <c r="AI937" i="214"/>
  <c r="AI938" i="214"/>
  <c r="AI939" i="214"/>
  <c r="AI940" i="214"/>
  <c r="AI941" i="214"/>
  <c r="AI942" i="214"/>
  <c r="AI943" i="214"/>
  <c r="AG944" i="214"/>
  <c r="AH944" i="214"/>
  <c r="AI944" i="214"/>
  <c r="AJ944" i="214"/>
  <c r="AG945" i="214"/>
  <c r="AI946" i="214"/>
  <c r="AI948" i="214"/>
  <c r="AI949" i="214"/>
  <c r="AI950" i="214"/>
  <c r="AI951" i="214"/>
  <c r="AI952" i="214"/>
  <c r="AI953" i="214"/>
  <c r="AI955" i="214"/>
  <c r="AI956" i="214"/>
  <c r="AI957" i="214"/>
  <c r="AI958" i="214"/>
  <c r="AI959" i="214"/>
  <c r="AI960" i="214"/>
  <c r="AI962" i="214"/>
  <c r="AI964" i="214"/>
  <c r="AI966" i="214"/>
  <c r="AI967" i="214"/>
  <c r="AI968" i="214"/>
  <c r="AI969" i="214"/>
  <c r="AI970" i="214"/>
  <c r="AI971" i="214"/>
  <c r="AI972" i="214"/>
  <c r="AI973" i="214"/>
  <c r="AI974" i="214"/>
  <c r="AI975" i="214"/>
  <c r="AI976" i="214"/>
  <c r="AI977" i="214"/>
  <c r="AI978" i="214"/>
  <c r="AG979" i="214"/>
  <c r="AI979" i="214"/>
  <c r="AJ979" i="214"/>
  <c r="AG980" i="214"/>
  <c r="AI981" i="214"/>
  <c r="AI983" i="214"/>
  <c r="AI984" i="214"/>
  <c r="AI985" i="214"/>
  <c r="AI986" i="214"/>
  <c r="AI987" i="214"/>
  <c r="AI988" i="214"/>
  <c r="AI990" i="214"/>
  <c r="AI991" i="214"/>
  <c r="AI992" i="214"/>
  <c r="AI993" i="214"/>
  <c r="AI994" i="214"/>
  <c r="AI995" i="214"/>
  <c r="AI997" i="214"/>
  <c r="AI999" i="214"/>
  <c r="AI1001" i="214"/>
  <c r="AI1002" i="214"/>
  <c r="AI1003" i="214"/>
  <c r="AI1004" i="214"/>
  <c r="AI1005" i="214"/>
  <c r="AI1006" i="214"/>
  <c r="AI1007" i="214"/>
  <c r="AI1008" i="214"/>
  <c r="AI1009" i="214"/>
  <c r="AI1010" i="214"/>
  <c r="AI1011" i="214"/>
  <c r="AI1012" i="214"/>
  <c r="AI1013" i="214"/>
  <c r="AG1014" i="214"/>
  <c r="AH1014" i="214"/>
  <c r="AI1014" i="214"/>
  <c r="AJ1014" i="214"/>
  <c r="AG1015" i="214"/>
  <c r="AI1016" i="214"/>
  <c r="AI1018" i="214"/>
  <c r="AI1019" i="214"/>
  <c r="AI1020" i="214"/>
  <c r="AI1021" i="214"/>
  <c r="AI1022" i="214"/>
  <c r="AI1023" i="214"/>
  <c r="AI1025" i="214"/>
  <c r="AI1026" i="214"/>
  <c r="AI1027" i="214"/>
  <c r="AI1028" i="214"/>
  <c r="AI1029" i="214"/>
  <c r="AI1030" i="214"/>
  <c r="AI1031" i="214"/>
  <c r="AI1032" i="214"/>
  <c r="AI1033" i="214"/>
  <c r="AI1034" i="214"/>
  <c r="AI1035" i="214"/>
  <c r="AI1036" i="214"/>
  <c r="AI1037" i="214"/>
  <c r="AG1041" i="214"/>
  <c r="AG1044" i="214"/>
  <c r="AG1046" i="214"/>
  <c r="AI1046" i="214"/>
  <c r="AG1047" i="214"/>
  <c r="AI1049" i="214"/>
  <c r="AI1050" i="214"/>
  <c r="AI1051" i="214"/>
  <c r="AI1053" i="214"/>
  <c r="AI1055" i="214"/>
  <c r="AI1057" i="214"/>
  <c r="AI1059" i="214"/>
  <c r="AI1061" i="214"/>
  <c r="AI1062" i="214"/>
  <c r="AI1064" i="214"/>
  <c r="AI1066" i="214"/>
  <c r="AI1067" i="214"/>
  <c r="AG1068" i="214"/>
  <c r="AI1068" i="214"/>
  <c r="AG1069" i="214"/>
  <c r="AI1069" i="214"/>
  <c r="AI1070" i="214"/>
  <c r="AI1072" i="214"/>
  <c r="AG1074" i="214"/>
  <c r="AI1074" i="214"/>
  <c r="AG1075" i="214"/>
  <c r="AI1075" i="214"/>
  <c r="AI1076" i="214"/>
  <c r="AI1077" i="214"/>
  <c r="AI1079" i="214"/>
  <c r="AI1081" i="214"/>
  <c r="AI1082" i="214"/>
  <c r="AI1084" i="214"/>
  <c r="AI1085" i="214"/>
  <c r="AG1086" i="214"/>
  <c r="AI1086" i="214"/>
  <c r="AG1087" i="214"/>
  <c r="AI1087" i="214"/>
  <c r="AI1088" i="214"/>
  <c r="AI1089" i="214"/>
  <c r="AI1090" i="214"/>
  <c r="AI1092" i="214"/>
  <c r="AI1094" i="214"/>
  <c r="AI1096" i="214"/>
  <c r="AI1098" i="214"/>
  <c r="AI1099" i="214"/>
  <c r="AI1100" i="214"/>
  <c r="AI1101" i="214"/>
  <c r="AI1102" i="214"/>
  <c r="AI1103" i="214"/>
  <c r="AI1104" i="214"/>
  <c r="AI1105" i="214"/>
  <c r="AI1106" i="214"/>
  <c r="AI1107" i="214"/>
  <c r="AI1108" i="214"/>
  <c r="AR221" i="212" l="1"/>
  <c r="AO221" i="212"/>
  <c r="AN221" i="212"/>
  <c r="F221" i="212"/>
  <c r="AR220" i="212"/>
  <c r="AO220" i="212"/>
  <c r="AN220" i="212"/>
  <c r="F220" i="212"/>
  <c r="AR219" i="212"/>
  <c r="AO219" i="212"/>
  <c r="AN219" i="212"/>
  <c r="F219" i="212"/>
  <c r="AR218" i="212"/>
  <c r="AO218" i="212"/>
  <c r="AN218" i="212"/>
  <c r="F218" i="212"/>
  <c r="AR217" i="212"/>
  <c r="AO217" i="212"/>
  <c r="AN217" i="212"/>
  <c r="F217" i="212"/>
  <c r="AR216" i="212"/>
  <c r="AO216" i="212"/>
  <c r="AN216" i="212"/>
  <c r="F216" i="212"/>
  <c r="AR215" i="212"/>
  <c r="AM169" i="212" s="1"/>
  <c r="AO215" i="212"/>
  <c r="AN215" i="212"/>
  <c r="F215" i="212"/>
  <c r="AR214" i="212"/>
  <c r="AO214" i="212"/>
  <c r="AN214" i="212"/>
  <c r="F214" i="212"/>
  <c r="AR213" i="212"/>
  <c r="AO213" i="212"/>
  <c r="AN213" i="212"/>
  <c r="F213" i="212"/>
  <c r="AR212" i="212"/>
  <c r="AO212" i="212"/>
  <c r="AN212" i="212"/>
  <c r="F212" i="212"/>
  <c r="AR211" i="212"/>
  <c r="AO211" i="212"/>
  <c r="AN211" i="212"/>
  <c r="F211" i="212"/>
  <c r="AR210" i="212"/>
  <c r="AO210" i="212"/>
  <c r="AN210" i="212"/>
  <c r="F210" i="212"/>
  <c r="AR209" i="212"/>
  <c r="AO209" i="212"/>
  <c r="AN209" i="212"/>
  <c r="F209" i="212"/>
  <c r="AR208" i="212"/>
  <c r="AO208" i="212"/>
  <c r="AN208" i="212"/>
  <c r="F208" i="212"/>
  <c r="AR207" i="212"/>
  <c r="AM161" i="212" s="1"/>
  <c r="AO207" i="212"/>
  <c r="AN207" i="212"/>
  <c r="F207" i="212"/>
  <c r="AR206" i="212"/>
  <c r="AO206" i="212"/>
  <c r="AN206" i="212"/>
  <c r="F206" i="212"/>
  <c r="AR205" i="212"/>
  <c r="AO205" i="212"/>
  <c r="AN205" i="212"/>
  <c r="F205" i="212"/>
  <c r="AR204" i="212"/>
  <c r="AM158" i="212" s="1"/>
  <c r="AO204" i="212"/>
  <c r="AN204" i="212"/>
  <c r="F204" i="212"/>
  <c r="AR203" i="212"/>
  <c r="AO203" i="212"/>
  <c r="AN203" i="212"/>
  <c r="F203" i="212"/>
  <c r="AR202" i="212"/>
  <c r="AO202" i="212"/>
  <c r="AN202" i="212"/>
  <c r="F202" i="212"/>
  <c r="AR201" i="212"/>
  <c r="AO201" i="212"/>
  <c r="AN201" i="212"/>
  <c r="F201" i="212"/>
  <c r="AR200" i="212"/>
  <c r="AM154" i="212" s="1"/>
  <c r="AO200" i="212"/>
  <c r="AN200" i="212"/>
  <c r="F200" i="212"/>
  <c r="AR199" i="212"/>
  <c r="AO199" i="212"/>
  <c r="AN199" i="212"/>
  <c r="F199" i="212"/>
  <c r="AR198" i="212"/>
  <c r="AO198" i="212"/>
  <c r="AN198" i="212"/>
  <c r="F198" i="212"/>
  <c r="AR197" i="212"/>
  <c r="AO197" i="212"/>
  <c r="AN197" i="212"/>
  <c r="F197" i="212"/>
  <c r="N192" i="212"/>
  <c r="N193" i="212" s="1"/>
  <c r="AM175" i="212"/>
  <c r="F175" i="212"/>
  <c r="C175" i="212"/>
  <c r="AM174" i="212"/>
  <c r="F174" i="212"/>
  <c r="C174" i="212"/>
  <c r="AM173" i="212"/>
  <c r="F173" i="212"/>
  <c r="C173" i="212"/>
  <c r="AM172" i="212"/>
  <c r="F172" i="212"/>
  <c r="C172" i="212"/>
  <c r="AM171" i="212"/>
  <c r="F171" i="212"/>
  <c r="C171" i="212"/>
  <c r="AM170" i="212"/>
  <c r="F170" i="212"/>
  <c r="C170" i="212"/>
  <c r="F169" i="212"/>
  <c r="C169" i="212"/>
  <c r="AM168" i="212"/>
  <c r="S168" i="212"/>
  <c r="F168" i="212"/>
  <c r="C168" i="212"/>
  <c r="AM167" i="212"/>
  <c r="F167" i="212"/>
  <c r="C167" i="212"/>
  <c r="AM166" i="212"/>
  <c r="F166" i="212"/>
  <c r="C166" i="212"/>
  <c r="AM165" i="212"/>
  <c r="F165" i="212"/>
  <c r="C165" i="212"/>
  <c r="AM164" i="212"/>
  <c r="F164" i="212"/>
  <c r="C164" i="212"/>
  <c r="AM163" i="212"/>
  <c r="F163" i="212"/>
  <c r="C163" i="212"/>
  <c r="AM162" i="212"/>
  <c r="F162" i="212"/>
  <c r="C162" i="212"/>
  <c r="AK161" i="212"/>
  <c r="F161" i="212"/>
  <c r="C161" i="212"/>
  <c r="AM160" i="212"/>
  <c r="F160" i="212"/>
  <c r="C160" i="212"/>
  <c r="AM159" i="212"/>
  <c r="F159" i="212"/>
  <c r="C159" i="212"/>
  <c r="Z158" i="212"/>
  <c r="F158" i="212"/>
  <c r="C158" i="212"/>
  <c r="AM157" i="212"/>
  <c r="F157" i="212"/>
  <c r="C157" i="212"/>
  <c r="AM156" i="212"/>
  <c r="Z156" i="212"/>
  <c r="F156" i="212"/>
  <c r="C156" i="212"/>
  <c r="AM155" i="212"/>
  <c r="F155" i="212"/>
  <c r="C155" i="212"/>
  <c r="F154" i="212"/>
  <c r="C154" i="212"/>
  <c r="AM153" i="212"/>
  <c r="AH153" i="212"/>
  <c r="F153" i="212"/>
  <c r="C153" i="212"/>
  <c r="AM152" i="212"/>
  <c r="F152" i="212"/>
  <c r="C152" i="212"/>
  <c r="AM151" i="212"/>
  <c r="F151" i="212"/>
  <c r="C151" i="212"/>
  <c r="AK150" i="212"/>
  <c r="AJ150" i="212"/>
  <c r="AI150" i="212"/>
  <c r="AH150" i="212"/>
  <c r="AG150" i="212"/>
  <c r="AF150" i="212"/>
  <c r="AE150" i="212"/>
  <c r="AD150" i="212"/>
  <c r="AC150" i="212"/>
  <c r="AB150" i="212"/>
  <c r="AA150" i="212"/>
  <c r="Z150" i="212"/>
  <c r="Y150" i="212"/>
  <c r="X150" i="212"/>
  <c r="W150" i="212"/>
  <c r="V150" i="212"/>
  <c r="U150" i="212"/>
  <c r="T150" i="212"/>
  <c r="S150" i="212"/>
  <c r="R150" i="212"/>
  <c r="Q150" i="212"/>
  <c r="P150" i="212"/>
  <c r="O150" i="212"/>
  <c r="N150" i="212"/>
  <c r="M150" i="212"/>
  <c r="L150" i="212"/>
  <c r="K150" i="212"/>
  <c r="J150" i="212"/>
  <c r="I150" i="212"/>
  <c r="H150" i="212"/>
  <c r="G150" i="212"/>
  <c r="C149" i="212"/>
  <c r="AD148" i="212"/>
  <c r="M148" i="212"/>
  <c r="U148" i="212" s="1"/>
  <c r="C148" i="212"/>
  <c r="F143" i="212"/>
  <c r="AP141" i="212"/>
  <c r="AO141" i="212"/>
  <c r="AN141" i="212"/>
  <c r="AK141" i="212"/>
  <c r="AJ141" i="212"/>
  <c r="AI141" i="212"/>
  <c r="AH141" i="212"/>
  <c r="AG141" i="212"/>
  <c r="AF141" i="212"/>
  <c r="AE141" i="212"/>
  <c r="AD141" i="212"/>
  <c r="AC141" i="212"/>
  <c r="AB141" i="212"/>
  <c r="AA141" i="212"/>
  <c r="Z141" i="212"/>
  <c r="Y141" i="212"/>
  <c r="X141" i="212"/>
  <c r="W141" i="212"/>
  <c r="V141" i="212"/>
  <c r="U141" i="212"/>
  <c r="T141" i="212"/>
  <c r="S141" i="212"/>
  <c r="R141" i="212"/>
  <c r="Q141" i="212"/>
  <c r="P141" i="212"/>
  <c r="O141" i="212"/>
  <c r="N141" i="212"/>
  <c r="M141" i="212"/>
  <c r="L141" i="212"/>
  <c r="K141" i="212"/>
  <c r="J141" i="212"/>
  <c r="I141" i="212"/>
  <c r="H141" i="212"/>
  <c r="G141" i="212"/>
  <c r="AP139" i="212"/>
  <c r="AO139" i="212"/>
  <c r="AN139" i="212"/>
  <c r="AK139" i="212"/>
  <c r="AJ139" i="212"/>
  <c r="AI139" i="212"/>
  <c r="AH139" i="212"/>
  <c r="AG139" i="212"/>
  <c r="AF139" i="212"/>
  <c r="AE139" i="212"/>
  <c r="AD139" i="212"/>
  <c r="AC139" i="212"/>
  <c r="AB139" i="212"/>
  <c r="AA139" i="212"/>
  <c r="Z139" i="212"/>
  <c r="Y139" i="212"/>
  <c r="X139" i="212"/>
  <c r="W139" i="212"/>
  <c r="V139" i="212"/>
  <c r="U139" i="212"/>
  <c r="T139" i="212"/>
  <c r="S139" i="212"/>
  <c r="R139" i="212"/>
  <c r="Q139" i="212"/>
  <c r="P139" i="212"/>
  <c r="O139" i="212"/>
  <c r="N139" i="212"/>
  <c r="M139" i="212"/>
  <c r="L139" i="212"/>
  <c r="K139" i="212"/>
  <c r="J139" i="212"/>
  <c r="I139" i="212"/>
  <c r="H139" i="212"/>
  <c r="G139" i="212"/>
  <c r="AP137" i="212"/>
  <c r="AO137" i="212"/>
  <c r="AN137" i="212"/>
  <c r="AK137" i="212"/>
  <c r="AJ137" i="212"/>
  <c r="AI137" i="212"/>
  <c r="AH137" i="212"/>
  <c r="AG137" i="212"/>
  <c r="AF137" i="212"/>
  <c r="AE137" i="212"/>
  <c r="AD137" i="212"/>
  <c r="AC137" i="212"/>
  <c r="AB137" i="212"/>
  <c r="AA137" i="212"/>
  <c r="Z137" i="212"/>
  <c r="Y137" i="212"/>
  <c r="X137" i="212"/>
  <c r="W137" i="212"/>
  <c r="V137" i="212"/>
  <c r="U137" i="212"/>
  <c r="T137" i="212"/>
  <c r="S137" i="212"/>
  <c r="R137" i="212"/>
  <c r="Q137" i="212"/>
  <c r="P137" i="212"/>
  <c r="O137" i="212"/>
  <c r="N137" i="212"/>
  <c r="AL137" i="212" s="1"/>
  <c r="M137" i="212"/>
  <c r="L137" i="212"/>
  <c r="K137" i="212"/>
  <c r="J137" i="212"/>
  <c r="I137" i="212"/>
  <c r="H137" i="212"/>
  <c r="G137" i="212"/>
  <c r="AL136" i="212"/>
  <c r="AP135" i="212"/>
  <c r="AO135" i="212"/>
  <c r="AN135" i="212"/>
  <c r="AK135" i="212"/>
  <c r="AJ135" i="212"/>
  <c r="AI135" i="212"/>
  <c r="AH135" i="212"/>
  <c r="AG135" i="212"/>
  <c r="AF135" i="212"/>
  <c r="AE135" i="212"/>
  <c r="AD135" i="212"/>
  <c r="AC135" i="212"/>
  <c r="AB135" i="212"/>
  <c r="AA135" i="212"/>
  <c r="Z135" i="212"/>
  <c r="Y135" i="212"/>
  <c r="X135" i="212"/>
  <c r="W135" i="212"/>
  <c r="V135" i="212"/>
  <c r="U135" i="212"/>
  <c r="T135" i="212"/>
  <c r="S135" i="212"/>
  <c r="R135" i="212"/>
  <c r="Q135" i="212"/>
  <c r="P135" i="212"/>
  <c r="O135" i="212"/>
  <c r="N135" i="212"/>
  <c r="M135" i="212"/>
  <c r="L135" i="212"/>
  <c r="K135" i="212"/>
  <c r="J135" i="212"/>
  <c r="I135" i="212"/>
  <c r="H135" i="212"/>
  <c r="G135" i="212"/>
  <c r="AP133" i="212"/>
  <c r="AO133" i="212"/>
  <c r="AN133" i="212"/>
  <c r="AK133" i="212"/>
  <c r="AJ133" i="212"/>
  <c r="AI133" i="212"/>
  <c r="AH133" i="212"/>
  <c r="AG133" i="212"/>
  <c r="AF133" i="212"/>
  <c r="AE133" i="212"/>
  <c r="AD133" i="212"/>
  <c r="AC133" i="212"/>
  <c r="AB133" i="212"/>
  <c r="AA133" i="212"/>
  <c r="Z133" i="212"/>
  <c r="Y133" i="212"/>
  <c r="X133" i="212"/>
  <c r="W133" i="212"/>
  <c r="V133" i="212"/>
  <c r="U133" i="212"/>
  <c r="T133" i="212"/>
  <c r="S133" i="212"/>
  <c r="R133" i="212"/>
  <c r="Q133" i="212"/>
  <c r="P133" i="212"/>
  <c r="O133" i="212"/>
  <c r="N133" i="212"/>
  <c r="M133" i="212"/>
  <c r="AL133" i="212" s="1"/>
  <c r="L133" i="212"/>
  <c r="K133" i="212"/>
  <c r="J133" i="212"/>
  <c r="I133" i="212"/>
  <c r="H133" i="212"/>
  <c r="G133" i="212"/>
  <c r="AP131" i="212"/>
  <c r="AO131" i="212"/>
  <c r="AN131" i="212"/>
  <c r="AK131" i="212"/>
  <c r="AJ131" i="212"/>
  <c r="AI131" i="212"/>
  <c r="AH131" i="212"/>
  <c r="AG131" i="212"/>
  <c r="AF131" i="212"/>
  <c r="AE131" i="212"/>
  <c r="AD131" i="212"/>
  <c r="AC131" i="212"/>
  <c r="AB131" i="212"/>
  <c r="AA131" i="212"/>
  <c r="Z131" i="212"/>
  <c r="Y131" i="212"/>
  <c r="X131" i="212"/>
  <c r="W131" i="212"/>
  <c r="V131" i="212"/>
  <c r="U131" i="212"/>
  <c r="T131" i="212"/>
  <c r="S131" i="212"/>
  <c r="R131" i="212"/>
  <c r="Q131" i="212"/>
  <c r="P131" i="212"/>
  <c r="O131" i="212"/>
  <c r="N131" i="212"/>
  <c r="M131" i="212"/>
  <c r="L131" i="212"/>
  <c r="AL131" i="212" s="1"/>
  <c r="K131" i="212"/>
  <c r="J131" i="212"/>
  <c r="I131" i="212"/>
  <c r="H131" i="212"/>
  <c r="G131" i="212"/>
  <c r="AP129" i="212"/>
  <c r="AO129" i="212"/>
  <c r="AN129" i="212"/>
  <c r="AK129" i="212"/>
  <c r="AJ129" i="212"/>
  <c r="AI129" i="212"/>
  <c r="AH129" i="212"/>
  <c r="AG129" i="212"/>
  <c r="AF129" i="212"/>
  <c r="AE129" i="212"/>
  <c r="AD129" i="212"/>
  <c r="AC129" i="212"/>
  <c r="AB129" i="212"/>
  <c r="AA129" i="212"/>
  <c r="Z129" i="212"/>
  <c r="Y129" i="212"/>
  <c r="X129" i="212"/>
  <c r="W129" i="212"/>
  <c r="V129" i="212"/>
  <c r="U129" i="212"/>
  <c r="T129" i="212"/>
  <c r="S129" i="212"/>
  <c r="R129" i="212"/>
  <c r="Q129" i="212"/>
  <c r="P129" i="212"/>
  <c r="O129" i="212"/>
  <c r="N129" i="212"/>
  <c r="M129" i="212"/>
  <c r="L129" i="212"/>
  <c r="K129" i="212"/>
  <c r="J129" i="212"/>
  <c r="I129" i="212"/>
  <c r="H129" i="212"/>
  <c r="G129" i="212"/>
  <c r="AP127" i="212"/>
  <c r="AO127" i="212"/>
  <c r="AN127" i="212"/>
  <c r="AK127" i="212"/>
  <c r="AJ127" i="212"/>
  <c r="AI127" i="212"/>
  <c r="AH127" i="212"/>
  <c r="AG127" i="212"/>
  <c r="AF127" i="212"/>
  <c r="AE127" i="212"/>
  <c r="AD127" i="212"/>
  <c r="AC127" i="212"/>
  <c r="AB127" i="212"/>
  <c r="AA127" i="212"/>
  <c r="Z127" i="212"/>
  <c r="Y127" i="212"/>
  <c r="X127" i="212"/>
  <c r="W127" i="212"/>
  <c r="V127" i="212"/>
  <c r="U127" i="212"/>
  <c r="T127" i="212"/>
  <c r="S127" i="212"/>
  <c r="R127" i="212"/>
  <c r="Q127" i="212"/>
  <c r="P127" i="212"/>
  <c r="O127" i="212"/>
  <c r="N127" i="212"/>
  <c r="M127" i="212"/>
  <c r="L127" i="212"/>
  <c r="K127" i="212"/>
  <c r="J127" i="212"/>
  <c r="I127" i="212"/>
  <c r="H127" i="212"/>
  <c r="G127" i="212"/>
  <c r="AL127" i="212" s="1"/>
  <c r="AM127" i="212" s="1"/>
  <c r="AP125" i="212"/>
  <c r="AO125" i="212"/>
  <c r="AN125" i="212"/>
  <c r="AK125" i="212"/>
  <c r="AJ125" i="212"/>
  <c r="AI125" i="212"/>
  <c r="AH125" i="212"/>
  <c r="AG125" i="212"/>
  <c r="AF125" i="212"/>
  <c r="AE125" i="212"/>
  <c r="AD125" i="212"/>
  <c r="AC125" i="212"/>
  <c r="AB125" i="212"/>
  <c r="AA125" i="212"/>
  <c r="Z125" i="212"/>
  <c r="Y125" i="212"/>
  <c r="X125" i="212"/>
  <c r="W125" i="212"/>
  <c r="V125" i="212"/>
  <c r="U125" i="212"/>
  <c r="T125" i="212"/>
  <c r="S125" i="212"/>
  <c r="R125" i="212"/>
  <c r="Q125" i="212"/>
  <c r="P125" i="212"/>
  <c r="O125" i="212"/>
  <c r="N125" i="212"/>
  <c r="M125" i="212"/>
  <c r="L125" i="212"/>
  <c r="K125" i="212"/>
  <c r="J125" i="212"/>
  <c r="I125" i="212"/>
  <c r="H125" i="212"/>
  <c r="G125" i="212"/>
  <c r="AP123" i="212"/>
  <c r="AO123" i="212"/>
  <c r="AN123" i="212"/>
  <c r="AK123" i="212"/>
  <c r="AJ123" i="212"/>
  <c r="AI123" i="212"/>
  <c r="AH123" i="212"/>
  <c r="AG123" i="212"/>
  <c r="AF123" i="212"/>
  <c r="AE123" i="212"/>
  <c r="AD123" i="212"/>
  <c r="AC123" i="212"/>
  <c r="AB123" i="212"/>
  <c r="AA123" i="212"/>
  <c r="Z123" i="212"/>
  <c r="Y123" i="212"/>
  <c r="X123" i="212"/>
  <c r="W123" i="212"/>
  <c r="V123" i="212"/>
  <c r="U123" i="212"/>
  <c r="T123" i="212"/>
  <c r="S123" i="212"/>
  <c r="R123" i="212"/>
  <c r="Q123" i="212"/>
  <c r="P123" i="212"/>
  <c r="O123" i="212"/>
  <c r="N123" i="212"/>
  <c r="M123" i="212"/>
  <c r="L123" i="212"/>
  <c r="K123" i="212"/>
  <c r="J123" i="212"/>
  <c r="I123" i="212"/>
  <c r="H123" i="212"/>
  <c r="G123" i="212"/>
  <c r="AP121" i="212"/>
  <c r="AO121" i="212"/>
  <c r="AN121" i="212"/>
  <c r="AK121" i="212"/>
  <c r="AJ121" i="212"/>
  <c r="AI121" i="212"/>
  <c r="AH121" i="212"/>
  <c r="AG121" i="212"/>
  <c r="AF121" i="212"/>
  <c r="AE121" i="212"/>
  <c r="AD121" i="212"/>
  <c r="AC121" i="212"/>
  <c r="AB121" i="212"/>
  <c r="AA121" i="212"/>
  <c r="Z121" i="212"/>
  <c r="Y121" i="212"/>
  <c r="X121" i="212"/>
  <c r="W121" i="212"/>
  <c r="V121" i="212"/>
  <c r="U121" i="212"/>
  <c r="T121" i="212"/>
  <c r="S121" i="212"/>
  <c r="R121" i="212"/>
  <c r="Q121" i="212"/>
  <c r="P121" i="212"/>
  <c r="O121" i="212"/>
  <c r="N121" i="212"/>
  <c r="M121" i="212"/>
  <c r="L121" i="212"/>
  <c r="K121" i="212"/>
  <c r="J121" i="212"/>
  <c r="I121" i="212"/>
  <c r="H121" i="212"/>
  <c r="G121" i="212"/>
  <c r="AP119" i="212"/>
  <c r="AO119" i="212"/>
  <c r="AN119" i="212"/>
  <c r="AK119" i="212"/>
  <c r="AJ119" i="212"/>
  <c r="AI119" i="212"/>
  <c r="AH119" i="212"/>
  <c r="AG119" i="212"/>
  <c r="AF119" i="212"/>
  <c r="AE119" i="212"/>
  <c r="AD119" i="212"/>
  <c r="AC119" i="212"/>
  <c r="AB119" i="212"/>
  <c r="AA119" i="212"/>
  <c r="Z119" i="212"/>
  <c r="Y119" i="212"/>
  <c r="X119" i="212"/>
  <c r="W119" i="212"/>
  <c r="V119" i="212"/>
  <c r="U119" i="212"/>
  <c r="T119" i="212"/>
  <c r="S119" i="212"/>
  <c r="R119" i="212"/>
  <c r="Q119" i="212"/>
  <c r="P119" i="212"/>
  <c r="O119" i="212"/>
  <c r="N119" i="212"/>
  <c r="M119" i="212"/>
  <c r="L119" i="212"/>
  <c r="K119" i="212"/>
  <c r="J119" i="212"/>
  <c r="I119" i="212"/>
  <c r="H119" i="212"/>
  <c r="G119" i="212"/>
  <c r="AP117" i="212"/>
  <c r="AO117" i="212"/>
  <c r="AN117" i="212"/>
  <c r="AK117" i="212"/>
  <c r="AJ117" i="212"/>
  <c r="AI117" i="212"/>
  <c r="AH117" i="212"/>
  <c r="AG117" i="212"/>
  <c r="AF117" i="212"/>
  <c r="AE117" i="212"/>
  <c r="AD117" i="212"/>
  <c r="AC117" i="212"/>
  <c r="AB117" i="212"/>
  <c r="AA117" i="212"/>
  <c r="Z117" i="212"/>
  <c r="Y117" i="212"/>
  <c r="X117" i="212"/>
  <c r="W117" i="212"/>
  <c r="V117" i="212"/>
  <c r="U117" i="212"/>
  <c r="T117" i="212"/>
  <c r="S117" i="212"/>
  <c r="R117" i="212"/>
  <c r="Q117" i="212"/>
  <c r="P117" i="212"/>
  <c r="O117" i="212"/>
  <c r="N117" i="212"/>
  <c r="M117" i="212"/>
  <c r="L117" i="212"/>
  <c r="K117" i="212"/>
  <c r="J117" i="212"/>
  <c r="I117" i="212"/>
  <c r="H117" i="212"/>
  <c r="G117" i="212"/>
  <c r="AP115" i="212"/>
  <c r="AO115" i="212"/>
  <c r="AN115" i="212"/>
  <c r="AK115" i="212"/>
  <c r="AJ115" i="212"/>
  <c r="AI115" i="212"/>
  <c r="AH115" i="212"/>
  <c r="AG115" i="212"/>
  <c r="AF115" i="212"/>
  <c r="AE115" i="212"/>
  <c r="AD115" i="212"/>
  <c r="AC115" i="212"/>
  <c r="AB115" i="212"/>
  <c r="AA115" i="212"/>
  <c r="Z115" i="212"/>
  <c r="Y115" i="212"/>
  <c r="X115" i="212"/>
  <c r="W115" i="212"/>
  <c r="V115" i="212"/>
  <c r="U115" i="212"/>
  <c r="T115" i="212"/>
  <c r="S115" i="212"/>
  <c r="R115" i="212"/>
  <c r="Q115" i="212"/>
  <c r="P115" i="212"/>
  <c r="O115" i="212"/>
  <c r="N115" i="212"/>
  <c r="M115" i="212"/>
  <c r="L115" i="212"/>
  <c r="K115" i="212"/>
  <c r="J115" i="212"/>
  <c r="I115" i="212"/>
  <c r="H115" i="212"/>
  <c r="G115" i="212"/>
  <c r="AP113" i="212"/>
  <c r="AO113" i="212"/>
  <c r="AN113" i="212"/>
  <c r="AK113" i="212"/>
  <c r="AJ113" i="212"/>
  <c r="AI113" i="212"/>
  <c r="AH113" i="212"/>
  <c r="AG113" i="212"/>
  <c r="AF113" i="212"/>
  <c r="AE113" i="212"/>
  <c r="AD113" i="212"/>
  <c r="AC113" i="212"/>
  <c r="AB113" i="212"/>
  <c r="AA113" i="212"/>
  <c r="Z113" i="212"/>
  <c r="Y113" i="212"/>
  <c r="X113" i="212"/>
  <c r="W113" i="212"/>
  <c r="V113" i="212"/>
  <c r="U113" i="212"/>
  <c r="T113" i="212"/>
  <c r="S113" i="212"/>
  <c r="R113" i="212"/>
  <c r="Q113" i="212"/>
  <c r="P113" i="212"/>
  <c r="O113" i="212"/>
  <c r="N113" i="212"/>
  <c r="M113" i="212"/>
  <c r="L113" i="212"/>
  <c r="K113" i="212"/>
  <c r="J113" i="212"/>
  <c r="I113" i="212"/>
  <c r="H113" i="212"/>
  <c r="G113" i="212"/>
  <c r="AP111" i="212"/>
  <c r="AO111" i="212"/>
  <c r="AN111" i="212"/>
  <c r="AK111" i="212"/>
  <c r="AJ111" i="212"/>
  <c r="AI111" i="212"/>
  <c r="AH111" i="212"/>
  <c r="AG111" i="212"/>
  <c r="AF111" i="212"/>
  <c r="AE111" i="212"/>
  <c r="AD111" i="212"/>
  <c r="AC111" i="212"/>
  <c r="AB111" i="212"/>
  <c r="AA111" i="212"/>
  <c r="Z111" i="212"/>
  <c r="Y111" i="212"/>
  <c r="X111" i="212"/>
  <c r="W111" i="212"/>
  <c r="V111" i="212"/>
  <c r="U111" i="212"/>
  <c r="T111" i="212"/>
  <c r="S111" i="212"/>
  <c r="R111" i="212"/>
  <c r="Q111" i="212"/>
  <c r="P111" i="212"/>
  <c r="O111" i="212"/>
  <c r="N111" i="212"/>
  <c r="M111" i="212"/>
  <c r="L111" i="212"/>
  <c r="K111" i="212"/>
  <c r="J111" i="212"/>
  <c r="I111" i="212"/>
  <c r="H111" i="212"/>
  <c r="G111" i="212"/>
  <c r="AP109" i="212"/>
  <c r="AO109" i="212"/>
  <c r="AN109" i="212"/>
  <c r="AK109" i="212"/>
  <c r="AJ109" i="212"/>
  <c r="AI109" i="212"/>
  <c r="AH109" i="212"/>
  <c r="AG109" i="212"/>
  <c r="AF109" i="212"/>
  <c r="AE109" i="212"/>
  <c r="AD109" i="212"/>
  <c r="AC109" i="212"/>
  <c r="AB109" i="212"/>
  <c r="AA109" i="212"/>
  <c r="Z109" i="212"/>
  <c r="Y109" i="212"/>
  <c r="X109" i="212"/>
  <c r="W109" i="212"/>
  <c r="V109" i="212"/>
  <c r="U109" i="212"/>
  <c r="T109" i="212"/>
  <c r="S109" i="212"/>
  <c r="R109" i="212"/>
  <c r="Q109" i="212"/>
  <c r="P109" i="212"/>
  <c r="O109" i="212"/>
  <c r="N109" i="212"/>
  <c r="M109" i="212"/>
  <c r="L109" i="212"/>
  <c r="K109" i="212"/>
  <c r="J109" i="212"/>
  <c r="I109" i="212"/>
  <c r="H109" i="212"/>
  <c r="G109" i="212"/>
  <c r="AP107" i="212"/>
  <c r="AO107" i="212"/>
  <c r="AN107" i="212"/>
  <c r="AK107" i="212"/>
  <c r="AJ107" i="212"/>
  <c r="AI107" i="212"/>
  <c r="AH107" i="212"/>
  <c r="AG107" i="212"/>
  <c r="AF107" i="212"/>
  <c r="AE107" i="212"/>
  <c r="AD107" i="212"/>
  <c r="AC107" i="212"/>
  <c r="AB107" i="212"/>
  <c r="AA107" i="212"/>
  <c r="Z107" i="212"/>
  <c r="Y107" i="212"/>
  <c r="X107" i="212"/>
  <c r="W107" i="212"/>
  <c r="V107" i="212"/>
  <c r="U107" i="212"/>
  <c r="T107" i="212"/>
  <c r="S107" i="212"/>
  <c r="R107" i="212"/>
  <c r="Q107" i="212"/>
  <c r="P107" i="212"/>
  <c r="O107" i="212"/>
  <c r="N107" i="212"/>
  <c r="M107" i="212"/>
  <c r="L107" i="212"/>
  <c r="K107" i="212"/>
  <c r="J107" i="212"/>
  <c r="I107" i="212"/>
  <c r="H107" i="212"/>
  <c r="G107" i="212"/>
  <c r="AP105" i="212"/>
  <c r="AO105" i="212"/>
  <c r="AN105" i="212"/>
  <c r="AK105" i="212"/>
  <c r="AJ105" i="212"/>
  <c r="AI105" i="212"/>
  <c r="AH105" i="212"/>
  <c r="AG105" i="212"/>
  <c r="AF105" i="212"/>
  <c r="AE105" i="212"/>
  <c r="AD105" i="212"/>
  <c r="AC105" i="212"/>
  <c r="AB105" i="212"/>
  <c r="AA105" i="212"/>
  <c r="Z105" i="212"/>
  <c r="Y105" i="212"/>
  <c r="X105" i="212"/>
  <c r="W105" i="212"/>
  <c r="V105" i="212"/>
  <c r="U105" i="212"/>
  <c r="T105" i="212"/>
  <c r="S105" i="212"/>
  <c r="R105" i="212"/>
  <c r="Q105" i="212"/>
  <c r="P105" i="212"/>
  <c r="O105" i="212"/>
  <c r="N105" i="212"/>
  <c r="M105" i="212"/>
  <c r="L105" i="212"/>
  <c r="K105" i="212"/>
  <c r="J105" i="212"/>
  <c r="I105" i="212"/>
  <c r="H105" i="212"/>
  <c r="G105" i="212"/>
  <c r="AP103" i="212"/>
  <c r="AO103" i="212"/>
  <c r="AN103" i="212"/>
  <c r="AK103" i="212"/>
  <c r="AJ103" i="212"/>
  <c r="AI103" i="212"/>
  <c r="AH103" i="212"/>
  <c r="AG103" i="212"/>
  <c r="AF103" i="212"/>
  <c r="AE103" i="212"/>
  <c r="AD103" i="212"/>
  <c r="AC103" i="212"/>
  <c r="AB103" i="212"/>
  <c r="AA103" i="212"/>
  <c r="Z103" i="212"/>
  <c r="Y103" i="212"/>
  <c r="X103" i="212"/>
  <c r="W103" i="212"/>
  <c r="V103" i="212"/>
  <c r="U103" i="212"/>
  <c r="T103" i="212"/>
  <c r="S103" i="212"/>
  <c r="R103" i="212"/>
  <c r="Q103" i="212"/>
  <c r="P103" i="212"/>
  <c r="O103" i="212"/>
  <c r="N103" i="212"/>
  <c r="AL103" i="212" s="1"/>
  <c r="M103" i="212"/>
  <c r="L103" i="212"/>
  <c r="K103" i="212"/>
  <c r="J103" i="212"/>
  <c r="I103" i="212"/>
  <c r="H103" i="212"/>
  <c r="G103" i="212"/>
  <c r="AL102" i="212"/>
  <c r="AP101" i="212"/>
  <c r="AO101" i="212"/>
  <c r="AN101" i="212"/>
  <c r="AK101" i="212"/>
  <c r="AJ101" i="212"/>
  <c r="AI101" i="212"/>
  <c r="AH101" i="212"/>
  <c r="AG101" i="212"/>
  <c r="AF101" i="212"/>
  <c r="AE101" i="212"/>
  <c r="AD101" i="212"/>
  <c r="AC101" i="212"/>
  <c r="AB101" i="212"/>
  <c r="AA101" i="212"/>
  <c r="Z101" i="212"/>
  <c r="Y101" i="212"/>
  <c r="X101" i="212"/>
  <c r="W101" i="212"/>
  <c r="V101" i="212"/>
  <c r="U101" i="212"/>
  <c r="T101" i="212"/>
  <c r="S101" i="212"/>
  <c r="R101" i="212"/>
  <c r="Q101" i="212"/>
  <c r="P101" i="212"/>
  <c r="O101" i="212"/>
  <c r="N101" i="212"/>
  <c r="M101" i="212"/>
  <c r="L101" i="212"/>
  <c r="K101" i="212"/>
  <c r="J101" i="212"/>
  <c r="I101" i="212"/>
  <c r="H101" i="212"/>
  <c r="G101" i="212"/>
  <c r="AP99" i="212"/>
  <c r="AO99" i="212"/>
  <c r="AN99" i="212"/>
  <c r="AK99" i="212"/>
  <c r="AJ99" i="212"/>
  <c r="AI99" i="212"/>
  <c r="AH99" i="212"/>
  <c r="AG99" i="212"/>
  <c r="AF99" i="212"/>
  <c r="AE99" i="212"/>
  <c r="AD99" i="212"/>
  <c r="AC99" i="212"/>
  <c r="AB99" i="212"/>
  <c r="AA99" i="212"/>
  <c r="Z99" i="212"/>
  <c r="Y99" i="212"/>
  <c r="X99" i="212"/>
  <c r="W99" i="212"/>
  <c r="V99" i="212"/>
  <c r="U99" i="212"/>
  <c r="T99" i="212"/>
  <c r="S99" i="212"/>
  <c r="R99" i="212"/>
  <c r="Q99" i="212"/>
  <c r="P99" i="212"/>
  <c r="O99" i="212"/>
  <c r="N99" i="212"/>
  <c r="AL99" i="212" s="1"/>
  <c r="M99" i="212"/>
  <c r="L99" i="212"/>
  <c r="K99" i="212"/>
  <c r="J99" i="212"/>
  <c r="I99" i="212"/>
  <c r="H99" i="212"/>
  <c r="G99" i="212"/>
  <c r="AL98" i="212"/>
  <c r="AP97" i="212"/>
  <c r="AO97" i="212"/>
  <c r="AN97" i="212"/>
  <c r="AK97" i="212"/>
  <c r="AJ97" i="212"/>
  <c r="AI97" i="212"/>
  <c r="AH97" i="212"/>
  <c r="AG97" i="212"/>
  <c r="AF97" i="212"/>
  <c r="AE97" i="212"/>
  <c r="AD97" i="212"/>
  <c r="AC97" i="212"/>
  <c r="AB97" i="212"/>
  <c r="AA97" i="212"/>
  <c r="Z97" i="212"/>
  <c r="Y97" i="212"/>
  <c r="X97" i="212"/>
  <c r="W97" i="212"/>
  <c r="V97" i="212"/>
  <c r="U97" i="212"/>
  <c r="T97" i="212"/>
  <c r="S97" i="212"/>
  <c r="R97" i="212"/>
  <c r="Q97" i="212"/>
  <c r="P97" i="212"/>
  <c r="O97" i="212"/>
  <c r="N97" i="212"/>
  <c r="M97" i="212"/>
  <c r="L97" i="212"/>
  <c r="K97" i="212"/>
  <c r="J97" i="212"/>
  <c r="I97" i="212"/>
  <c r="H97" i="212"/>
  <c r="G97" i="212"/>
  <c r="AP95" i="212"/>
  <c r="AO95" i="212"/>
  <c r="AN95" i="212"/>
  <c r="AK95" i="212"/>
  <c r="AJ95" i="212"/>
  <c r="AI95" i="212"/>
  <c r="AH95" i="212"/>
  <c r="AG95" i="212"/>
  <c r="AF95" i="212"/>
  <c r="AE95" i="212"/>
  <c r="AD95" i="212"/>
  <c r="AC95" i="212"/>
  <c r="AB95" i="212"/>
  <c r="AA95" i="212"/>
  <c r="Z95" i="212"/>
  <c r="Y95" i="212"/>
  <c r="X95" i="212"/>
  <c r="W95" i="212"/>
  <c r="V95" i="212"/>
  <c r="U95" i="212"/>
  <c r="T95" i="212"/>
  <c r="S95" i="212"/>
  <c r="R95" i="212"/>
  <c r="Q95" i="212"/>
  <c r="P95" i="212"/>
  <c r="O95" i="212"/>
  <c r="N95" i="212"/>
  <c r="M95" i="212"/>
  <c r="L95" i="212"/>
  <c r="K95" i="212"/>
  <c r="J95" i="212"/>
  <c r="I95" i="212"/>
  <c r="H95" i="212"/>
  <c r="G95" i="212"/>
  <c r="AP93" i="212"/>
  <c r="AO93" i="212"/>
  <c r="AN93" i="212"/>
  <c r="AK93" i="212"/>
  <c r="AJ93" i="212"/>
  <c r="AI93" i="212"/>
  <c r="AH93" i="212"/>
  <c r="AG93" i="212"/>
  <c r="AF93" i="212"/>
  <c r="AE93" i="212"/>
  <c r="AD93" i="212"/>
  <c r="AC93" i="212"/>
  <c r="AB93" i="212"/>
  <c r="AA93" i="212"/>
  <c r="Z93" i="212"/>
  <c r="Y93" i="212"/>
  <c r="X93" i="212"/>
  <c r="W93" i="212"/>
  <c r="V93" i="212"/>
  <c r="U93" i="212"/>
  <c r="T93" i="212"/>
  <c r="S93" i="212"/>
  <c r="R93" i="212"/>
  <c r="Q93" i="212"/>
  <c r="P93" i="212"/>
  <c r="O93" i="212"/>
  <c r="N93" i="212"/>
  <c r="M93" i="212"/>
  <c r="L93" i="212"/>
  <c r="K93" i="212"/>
  <c r="J93" i="212"/>
  <c r="I93" i="212"/>
  <c r="H93" i="212"/>
  <c r="G93" i="212"/>
  <c r="AP91" i="212"/>
  <c r="AO91" i="212"/>
  <c r="AN91" i="212"/>
  <c r="AK91" i="212"/>
  <c r="AJ91" i="212"/>
  <c r="AI91" i="212"/>
  <c r="AH91" i="212"/>
  <c r="AG91" i="212"/>
  <c r="AF91" i="212"/>
  <c r="AE91" i="212"/>
  <c r="AD91" i="212"/>
  <c r="AC91" i="212"/>
  <c r="AB91" i="212"/>
  <c r="AA91" i="212"/>
  <c r="Z91" i="212"/>
  <c r="Y91" i="212"/>
  <c r="X91" i="212"/>
  <c r="W91" i="212"/>
  <c r="V91" i="212"/>
  <c r="U91" i="212"/>
  <c r="T91" i="212"/>
  <c r="S91" i="212"/>
  <c r="R91" i="212"/>
  <c r="Q91" i="212"/>
  <c r="P91" i="212"/>
  <c r="O91" i="212"/>
  <c r="N91" i="212"/>
  <c r="M91" i="212"/>
  <c r="L91" i="212"/>
  <c r="K91" i="212"/>
  <c r="J91" i="212"/>
  <c r="I91" i="212"/>
  <c r="H91" i="212"/>
  <c r="G91" i="212"/>
  <c r="AP89" i="212"/>
  <c r="AO89" i="212"/>
  <c r="AN89" i="212"/>
  <c r="AK89" i="212"/>
  <c r="AJ89" i="212"/>
  <c r="AI89" i="212"/>
  <c r="AH89" i="212"/>
  <c r="AG89" i="212"/>
  <c r="AF89" i="212"/>
  <c r="AE89" i="212"/>
  <c r="AD89" i="212"/>
  <c r="AC89" i="212"/>
  <c r="AB89" i="212"/>
  <c r="AA89" i="212"/>
  <c r="Z89" i="212"/>
  <c r="Y89" i="212"/>
  <c r="X89" i="212"/>
  <c r="W89" i="212"/>
  <c r="V89" i="212"/>
  <c r="U89" i="212"/>
  <c r="T89" i="212"/>
  <c r="S89" i="212"/>
  <c r="R89" i="212"/>
  <c r="Q89" i="212"/>
  <c r="P89" i="212"/>
  <c r="O89" i="212"/>
  <c r="N89" i="212"/>
  <c r="AL89" i="212" s="1"/>
  <c r="M89" i="212"/>
  <c r="L89" i="212"/>
  <c r="K89" i="212"/>
  <c r="J89" i="212"/>
  <c r="I89" i="212"/>
  <c r="H89" i="212"/>
  <c r="G89" i="212"/>
  <c r="AL88" i="212"/>
  <c r="AP87" i="212"/>
  <c r="AO87" i="212"/>
  <c r="AN87" i="212"/>
  <c r="AK87" i="212"/>
  <c r="AJ87" i="212"/>
  <c r="AI87" i="212"/>
  <c r="AH87" i="212"/>
  <c r="AG87" i="212"/>
  <c r="AF87" i="212"/>
  <c r="AE87" i="212"/>
  <c r="AD87" i="212"/>
  <c r="AC87" i="212"/>
  <c r="AB87" i="212"/>
  <c r="AA87" i="212"/>
  <c r="Z87" i="212"/>
  <c r="Y87" i="212"/>
  <c r="X87" i="212"/>
  <c r="W87" i="212"/>
  <c r="V87" i="212"/>
  <c r="U87" i="212"/>
  <c r="T87" i="212"/>
  <c r="S87" i="212"/>
  <c r="R87" i="212"/>
  <c r="Q87" i="212"/>
  <c r="P87" i="212"/>
  <c r="O87" i="212"/>
  <c r="N87" i="212"/>
  <c r="M87" i="212"/>
  <c r="L87" i="212"/>
  <c r="K87" i="212"/>
  <c r="J87" i="212"/>
  <c r="I87" i="212"/>
  <c r="H87" i="212"/>
  <c r="G87" i="212"/>
  <c r="AP85" i="212"/>
  <c r="AO85" i="212"/>
  <c r="AN85" i="212"/>
  <c r="AK85" i="212"/>
  <c r="AJ85" i="212"/>
  <c r="AJ155" i="212" s="1"/>
  <c r="AI85" i="212"/>
  <c r="AH85" i="212"/>
  <c r="AG85" i="212"/>
  <c r="AF85" i="212"/>
  <c r="AE85" i="212"/>
  <c r="AD85" i="212"/>
  <c r="AC85" i="212"/>
  <c r="AB85" i="212"/>
  <c r="AA85" i="212"/>
  <c r="Z85" i="212"/>
  <c r="Y85" i="212"/>
  <c r="X85" i="212"/>
  <c r="W85" i="212"/>
  <c r="V85" i="212"/>
  <c r="U85" i="212"/>
  <c r="T85" i="212"/>
  <c r="S85" i="212"/>
  <c r="R85" i="212"/>
  <c r="Q85" i="212"/>
  <c r="P85" i="212"/>
  <c r="O85" i="212"/>
  <c r="N85" i="212"/>
  <c r="M85" i="212"/>
  <c r="L85" i="212"/>
  <c r="K85" i="212"/>
  <c r="J85" i="212"/>
  <c r="I85" i="212"/>
  <c r="H85" i="212"/>
  <c r="G85" i="212"/>
  <c r="AP83" i="212"/>
  <c r="AO83" i="212"/>
  <c r="AN83" i="212"/>
  <c r="AK83" i="212"/>
  <c r="AJ83" i="212"/>
  <c r="AI83" i="212"/>
  <c r="AH83" i="212"/>
  <c r="AG83" i="212"/>
  <c r="AF83" i="212"/>
  <c r="AE83" i="212"/>
  <c r="AD83" i="212"/>
  <c r="AC83" i="212"/>
  <c r="AB83" i="212"/>
  <c r="AA83" i="212"/>
  <c r="Z83" i="212"/>
  <c r="Y83" i="212"/>
  <c r="X83" i="212"/>
  <c r="W83" i="212"/>
  <c r="V83" i="212"/>
  <c r="U83" i="212"/>
  <c r="T83" i="212"/>
  <c r="S83" i="212"/>
  <c r="R83" i="212"/>
  <c r="Q83" i="212"/>
  <c r="P83" i="212"/>
  <c r="O83" i="212"/>
  <c r="N83" i="212"/>
  <c r="M83" i="212"/>
  <c r="L83" i="212"/>
  <c r="K83" i="212"/>
  <c r="J83" i="212"/>
  <c r="I83" i="212"/>
  <c r="H83" i="212"/>
  <c r="G83" i="212"/>
  <c r="AP81" i="212"/>
  <c r="AO81" i="212"/>
  <c r="AN81" i="212"/>
  <c r="AK81" i="212"/>
  <c r="AJ81" i="212"/>
  <c r="AI81" i="212"/>
  <c r="AH81" i="212"/>
  <c r="AG81" i="212"/>
  <c r="AF81" i="212"/>
  <c r="AE81" i="212"/>
  <c r="AD81" i="212"/>
  <c r="AC81" i="212"/>
  <c r="AB81" i="212"/>
  <c r="AA81" i="212"/>
  <c r="Z81" i="212"/>
  <c r="Y81" i="212"/>
  <c r="X81" i="212"/>
  <c r="W81" i="212"/>
  <c r="V81" i="212"/>
  <c r="U81" i="212"/>
  <c r="T81" i="212"/>
  <c r="S81" i="212"/>
  <c r="R81" i="212"/>
  <c r="Q81" i="212"/>
  <c r="P81" i="212"/>
  <c r="O81" i="212"/>
  <c r="N81" i="212"/>
  <c r="M81" i="212"/>
  <c r="L81" i="212"/>
  <c r="K81" i="212"/>
  <c r="J81" i="212"/>
  <c r="I81" i="212"/>
  <c r="H81" i="212"/>
  <c r="G81" i="212"/>
  <c r="AP79" i="212"/>
  <c r="AO79" i="212"/>
  <c r="AN79" i="212"/>
  <c r="AK79" i="212"/>
  <c r="AJ79" i="212"/>
  <c r="AI79" i="212"/>
  <c r="AH79" i="212"/>
  <c r="AG79" i="212"/>
  <c r="AF79" i="212"/>
  <c r="AE79" i="212"/>
  <c r="AD79" i="212"/>
  <c r="AC79" i="212"/>
  <c r="AB79" i="212"/>
  <c r="AA79" i="212"/>
  <c r="Z79" i="212"/>
  <c r="Y79" i="212"/>
  <c r="X79" i="212"/>
  <c r="W79" i="212"/>
  <c r="V79" i="212"/>
  <c r="U79" i="212"/>
  <c r="T79" i="212"/>
  <c r="S79" i="212"/>
  <c r="R79" i="212"/>
  <c r="Q79" i="212"/>
  <c r="P79" i="212"/>
  <c r="O79" i="212"/>
  <c r="N79" i="212"/>
  <c r="M79" i="212"/>
  <c r="L79" i="212"/>
  <c r="K79" i="212"/>
  <c r="J79" i="212"/>
  <c r="I79" i="212"/>
  <c r="H79" i="212"/>
  <c r="G79" i="212"/>
  <c r="AP77" i="212"/>
  <c r="AO77" i="212"/>
  <c r="AN77" i="212"/>
  <c r="AK77" i="212"/>
  <c r="AJ77" i="212"/>
  <c r="AI77" i="212"/>
  <c r="AH77" i="212"/>
  <c r="AG77" i="212"/>
  <c r="AF77" i="212"/>
  <c r="AE77" i="212"/>
  <c r="AD77" i="212"/>
  <c r="AC77" i="212"/>
  <c r="AB77" i="212"/>
  <c r="AA77" i="212"/>
  <c r="Z77" i="212"/>
  <c r="Y77" i="212"/>
  <c r="X77" i="212"/>
  <c r="W77" i="212"/>
  <c r="V77" i="212"/>
  <c r="U77" i="212"/>
  <c r="T77" i="212"/>
  <c r="S77" i="212"/>
  <c r="R77" i="212"/>
  <c r="Q77" i="212"/>
  <c r="P77" i="212"/>
  <c r="O77" i="212"/>
  <c r="N77" i="212"/>
  <c r="M77" i="212"/>
  <c r="L77" i="212"/>
  <c r="K77" i="212"/>
  <c r="J77" i="212"/>
  <c r="I77" i="212"/>
  <c r="H77" i="212"/>
  <c r="G77" i="212"/>
  <c r="AP75" i="212"/>
  <c r="AO75" i="212"/>
  <c r="AN75" i="212"/>
  <c r="AK75" i="212"/>
  <c r="AJ75" i="212"/>
  <c r="AI75" i="212"/>
  <c r="AH75" i="212"/>
  <c r="AG75" i="212"/>
  <c r="AF75" i="212"/>
  <c r="AE75" i="212"/>
  <c r="AD75" i="212"/>
  <c r="AC75" i="212"/>
  <c r="AB75" i="212"/>
  <c r="AA75" i="212"/>
  <c r="Z75" i="212"/>
  <c r="Y75" i="212"/>
  <c r="X75" i="212"/>
  <c r="W75" i="212"/>
  <c r="V75" i="212"/>
  <c r="U75" i="212"/>
  <c r="T75" i="212"/>
  <c r="S75" i="212"/>
  <c r="R75" i="212"/>
  <c r="Q75" i="212"/>
  <c r="P75" i="212"/>
  <c r="O75" i="212"/>
  <c r="N75" i="212"/>
  <c r="M75" i="212"/>
  <c r="L75" i="212"/>
  <c r="K75" i="212"/>
  <c r="J75" i="212"/>
  <c r="I75" i="212"/>
  <c r="H75" i="212"/>
  <c r="G75" i="212"/>
  <c r="AP73" i="212"/>
  <c r="AO73" i="212"/>
  <c r="AN73" i="212"/>
  <c r="AK73" i="212"/>
  <c r="AJ73" i="212"/>
  <c r="AI73" i="212"/>
  <c r="AH73" i="212"/>
  <c r="AG73" i="212"/>
  <c r="AF73" i="212"/>
  <c r="AE73" i="212"/>
  <c r="AD73" i="212"/>
  <c r="AC73" i="212"/>
  <c r="AB73" i="212"/>
  <c r="AA73" i="212"/>
  <c r="Z73" i="212"/>
  <c r="Y73" i="212"/>
  <c r="X73" i="212"/>
  <c r="W73" i="212"/>
  <c r="V73" i="212"/>
  <c r="U73" i="212"/>
  <c r="T73" i="212"/>
  <c r="S73" i="212"/>
  <c r="R73" i="212"/>
  <c r="Q73" i="212"/>
  <c r="P73" i="212"/>
  <c r="O73" i="212"/>
  <c r="N73" i="212"/>
  <c r="M73" i="212"/>
  <c r="L73" i="212"/>
  <c r="K73" i="212"/>
  <c r="J73" i="212"/>
  <c r="I73" i="212"/>
  <c r="H73" i="212"/>
  <c r="G73" i="212"/>
  <c r="AL73" i="212" s="1"/>
  <c r="AP71" i="212"/>
  <c r="AO71" i="212"/>
  <c r="AN71" i="212"/>
  <c r="AK71" i="212"/>
  <c r="AJ71" i="212"/>
  <c r="AI71" i="212"/>
  <c r="AH71" i="212"/>
  <c r="AG71" i="212"/>
  <c r="AF71" i="212"/>
  <c r="AE71" i="212"/>
  <c r="AD71" i="212"/>
  <c r="AC71" i="212"/>
  <c r="AB71" i="212"/>
  <c r="AA71" i="212"/>
  <c r="Z71" i="212"/>
  <c r="Y71" i="212"/>
  <c r="X71" i="212"/>
  <c r="W71" i="212"/>
  <c r="V71" i="212"/>
  <c r="U71" i="212"/>
  <c r="T71" i="212"/>
  <c r="S71" i="212"/>
  <c r="R71" i="212"/>
  <c r="Q71" i="212"/>
  <c r="P71" i="212"/>
  <c r="O71" i="212"/>
  <c r="N71" i="212"/>
  <c r="M71" i="212"/>
  <c r="L71" i="212"/>
  <c r="K71" i="212"/>
  <c r="J71" i="212"/>
  <c r="I71" i="212"/>
  <c r="H71" i="212"/>
  <c r="G71" i="212"/>
  <c r="AP69" i="212"/>
  <c r="AO69" i="212"/>
  <c r="AN69" i="212"/>
  <c r="AK69" i="212"/>
  <c r="AJ69" i="212"/>
  <c r="AI69" i="212"/>
  <c r="AH69" i="212"/>
  <c r="AG69" i="212"/>
  <c r="AF69" i="212"/>
  <c r="AE69" i="212"/>
  <c r="AD69" i="212"/>
  <c r="AC69" i="212"/>
  <c r="AB69" i="212"/>
  <c r="AA69" i="212"/>
  <c r="Z69" i="212"/>
  <c r="Y69" i="212"/>
  <c r="X69" i="212"/>
  <c r="W69" i="212"/>
  <c r="V69" i="212"/>
  <c r="U69" i="212"/>
  <c r="T69" i="212"/>
  <c r="S69" i="212"/>
  <c r="R69" i="212"/>
  <c r="Q69" i="212"/>
  <c r="P69" i="212"/>
  <c r="O69" i="212"/>
  <c r="N69" i="212"/>
  <c r="M69" i="212"/>
  <c r="L69" i="212"/>
  <c r="K69" i="212"/>
  <c r="J69" i="212"/>
  <c r="I69" i="212"/>
  <c r="H69" i="212"/>
  <c r="G69" i="212"/>
  <c r="AP67" i="212"/>
  <c r="AO67" i="212"/>
  <c r="AN67" i="212"/>
  <c r="AK67" i="212"/>
  <c r="AJ67" i="212"/>
  <c r="AI67" i="212"/>
  <c r="AH67" i="212"/>
  <c r="AG67" i="212"/>
  <c r="AF67" i="212"/>
  <c r="AE67" i="212"/>
  <c r="AD67" i="212"/>
  <c r="AC67" i="212"/>
  <c r="AB67" i="212"/>
  <c r="AA67" i="212"/>
  <c r="AA167" i="212" s="1"/>
  <c r="Z67" i="212"/>
  <c r="Y67" i="212"/>
  <c r="X67" i="212"/>
  <c r="W67" i="212"/>
  <c r="V67" i="212"/>
  <c r="U67" i="212"/>
  <c r="T67" i="212"/>
  <c r="S67" i="212"/>
  <c r="R67" i="212"/>
  <c r="Q67" i="212"/>
  <c r="P67" i="212"/>
  <c r="O67" i="212"/>
  <c r="N67" i="212"/>
  <c r="M67" i="212"/>
  <c r="L67" i="212"/>
  <c r="K67" i="212"/>
  <c r="J67" i="212"/>
  <c r="I67" i="212"/>
  <c r="H67" i="212"/>
  <c r="G67" i="212"/>
  <c r="AP65" i="212"/>
  <c r="AO65" i="212"/>
  <c r="AN65" i="212"/>
  <c r="AK65" i="212"/>
  <c r="AJ65" i="212"/>
  <c r="AI65" i="212"/>
  <c r="AH65" i="212"/>
  <c r="AG65" i="212"/>
  <c r="AF65" i="212"/>
  <c r="AE65" i="212"/>
  <c r="AD65" i="212"/>
  <c r="AC65" i="212"/>
  <c r="AB65" i="212"/>
  <c r="AA65" i="212"/>
  <c r="Z65" i="212"/>
  <c r="Y65" i="212"/>
  <c r="X65" i="212"/>
  <c r="W65" i="212"/>
  <c r="V65" i="212"/>
  <c r="U65" i="212"/>
  <c r="T65" i="212"/>
  <c r="S65" i="212"/>
  <c r="R65" i="212"/>
  <c r="Q65" i="212"/>
  <c r="P65" i="212"/>
  <c r="O65" i="212"/>
  <c r="N65" i="212"/>
  <c r="M65" i="212"/>
  <c r="L65" i="212"/>
  <c r="K65" i="212"/>
  <c r="J65" i="212"/>
  <c r="I65" i="212"/>
  <c r="H65" i="212"/>
  <c r="G65" i="212"/>
  <c r="AP63" i="212"/>
  <c r="AO63" i="212"/>
  <c r="AN63" i="212"/>
  <c r="AK63" i="212"/>
  <c r="AJ63" i="212"/>
  <c r="AI63" i="212"/>
  <c r="AH63" i="212"/>
  <c r="AG63" i="212"/>
  <c r="AF63" i="212"/>
  <c r="AE63" i="212"/>
  <c r="AD63" i="212"/>
  <c r="AC63" i="212"/>
  <c r="AB63" i="212"/>
  <c r="AA63" i="212"/>
  <c r="Z63" i="212"/>
  <c r="Y63" i="212"/>
  <c r="X63" i="212"/>
  <c r="W63" i="212"/>
  <c r="V63" i="212"/>
  <c r="U63" i="212"/>
  <c r="T63" i="212"/>
  <c r="S63" i="212"/>
  <c r="R63" i="212"/>
  <c r="Q63" i="212"/>
  <c r="P63" i="212"/>
  <c r="O63" i="212"/>
  <c r="N63" i="212"/>
  <c r="M63" i="212"/>
  <c r="AL63" i="212" s="1"/>
  <c r="L63" i="212"/>
  <c r="K63" i="212"/>
  <c r="J63" i="212"/>
  <c r="I63" i="212"/>
  <c r="H63" i="212"/>
  <c r="G63" i="212"/>
  <c r="AP61" i="212"/>
  <c r="AO61" i="212"/>
  <c r="AN61" i="212"/>
  <c r="AK61" i="212"/>
  <c r="AJ61" i="212"/>
  <c r="AI61" i="212"/>
  <c r="AH61" i="212"/>
  <c r="AG61" i="212"/>
  <c r="AF61" i="212"/>
  <c r="AE61" i="212"/>
  <c r="AD61" i="212"/>
  <c r="AC61" i="212"/>
  <c r="AB61" i="212"/>
  <c r="AA61" i="212"/>
  <c r="Z61" i="212"/>
  <c r="Y61" i="212"/>
  <c r="X61" i="212"/>
  <c r="W61" i="212"/>
  <c r="V61" i="212"/>
  <c r="U61" i="212"/>
  <c r="T61" i="212"/>
  <c r="S61" i="212"/>
  <c r="R61" i="212"/>
  <c r="Q61" i="212"/>
  <c r="P61" i="212"/>
  <c r="O61" i="212"/>
  <c r="N61" i="212"/>
  <c r="M61" i="212"/>
  <c r="L61" i="212"/>
  <c r="K61" i="212"/>
  <c r="J61" i="212"/>
  <c r="I61" i="212"/>
  <c r="H61" i="212"/>
  <c r="G61" i="212"/>
  <c r="AP59" i="212"/>
  <c r="AO59" i="212"/>
  <c r="AN59" i="212"/>
  <c r="AK59" i="212"/>
  <c r="AJ59" i="212"/>
  <c r="AI59" i="212"/>
  <c r="AH59" i="212"/>
  <c r="AG59" i="212"/>
  <c r="AF59" i="212"/>
  <c r="AE59" i="212"/>
  <c r="AE160" i="212" s="1"/>
  <c r="AD59" i="212"/>
  <c r="AC59" i="212"/>
  <c r="AB59" i="212"/>
  <c r="AA59" i="212"/>
  <c r="Z59" i="212"/>
  <c r="Y59" i="212"/>
  <c r="X59" i="212"/>
  <c r="X158" i="212" s="1"/>
  <c r="W59" i="212"/>
  <c r="W171" i="212" s="1"/>
  <c r="V59" i="212"/>
  <c r="U59" i="212"/>
  <c r="T59" i="212"/>
  <c r="S59" i="212"/>
  <c r="R59" i="212"/>
  <c r="Q59" i="212"/>
  <c r="P59" i="212"/>
  <c r="P152" i="212" s="1"/>
  <c r="O59" i="212"/>
  <c r="O152" i="212" s="1"/>
  <c r="N59" i="212"/>
  <c r="M59" i="212"/>
  <c r="L59" i="212"/>
  <c r="K59" i="212"/>
  <c r="J59" i="212"/>
  <c r="I59" i="212"/>
  <c r="H59" i="212"/>
  <c r="G59" i="212"/>
  <c r="AP57" i="212"/>
  <c r="AO57" i="212"/>
  <c r="AN57" i="212"/>
  <c r="AK57" i="212"/>
  <c r="AJ57" i="212"/>
  <c r="AI57" i="212"/>
  <c r="AH57" i="212"/>
  <c r="AG57" i="212"/>
  <c r="AF57" i="212"/>
  <c r="AE57" i="212"/>
  <c r="AD57" i="212"/>
  <c r="AC57" i="212"/>
  <c r="AB57" i="212"/>
  <c r="AA57" i="212"/>
  <c r="Z57" i="212"/>
  <c r="Y57" i="212"/>
  <c r="X57" i="212"/>
  <c r="W57" i="212"/>
  <c r="V57" i="212"/>
  <c r="U57" i="212"/>
  <c r="T57" i="212"/>
  <c r="S57" i="212"/>
  <c r="R57" i="212"/>
  <c r="Q57" i="212"/>
  <c r="P57" i="212"/>
  <c r="O57" i="212"/>
  <c r="N57" i="212"/>
  <c r="M57" i="212"/>
  <c r="L57" i="212"/>
  <c r="K57" i="212"/>
  <c r="J57" i="212"/>
  <c r="I57" i="212"/>
  <c r="H57" i="212"/>
  <c r="G57" i="212"/>
  <c r="AP55" i="212"/>
  <c r="AO55" i="212"/>
  <c r="AN55" i="212"/>
  <c r="AK55" i="212"/>
  <c r="AJ55" i="212"/>
  <c r="AI55" i="212"/>
  <c r="AH55" i="212"/>
  <c r="AG55" i="212"/>
  <c r="AF55" i="212"/>
  <c r="AE55" i="212"/>
  <c r="AD55" i="212"/>
  <c r="AC55" i="212"/>
  <c r="AB55" i="212"/>
  <c r="AA55" i="212"/>
  <c r="Z55" i="212"/>
  <c r="Y55" i="212"/>
  <c r="X55" i="212"/>
  <c r="W55" i="212"/>
  <c r="V55" i="212"/>
  <c r="U55" i="212"/>
  <c r="T55" i="212"/>
  <c r="S55" i="212"/>
  <c r="R55" i="212"/>
  <c r="Q55" i="212"/>
  <c r="P55" i="212"/>
  <c r="O55" i="212"/>
  <c r="N55" i="212"/>
  <c r="M55" i="212"/>
  <c r="AL55" i="212" s="1"/>
  <c r="L55" i="212"/>
  <c r="K55" i="212"/>
  <c r="J55" i="212"/>
  <c r="I55" i="212"/>
  <c r="H55" i="212"/>
  <c r="G55" i="212"/>
  <c r="AP53" i="212"/>
  <c r="AO53" i="212"/>
  <c r="AN53" i="212"/>
  <c r="AK53" i="212"/>
  <c r="AJ53" i="212"/>
  <c r="AI53" i="212"/>
  <c r="AH53" i="212"/>
  <c r="AG53" i="212"/>
  <c r="AF53" i="212"/>
  <c r="AE53" i="212"/>
  <c r="AD53" i="212"/>
  <c r="AC53" i="212"/>
  <c r="AB53" i="212"/>
  <c r="AA53" i="212"/>
  <c r="Z53" i="212"/>
  <c r="Y53" i="212"/>
  <c r="Y158" i="212" s="1"/>
  <c r="X53" i="212"/>
  <c r="W53" i="212"/>
  <c r="V53" i="212"/>
  <c r="U53" i="212"/>
  <c r="T53" i="212"/>
  <c r="S53" i="212"/>
  <c r="R53" i="212"/>
  <c r="Q53" i="212"/>
  <c r="P53" i="212"/>
  <c r="O53" i="212"/>
  <c r="N53" i="212"/>
  <c r="M53" i="212"/>
  <c r="L53" i="212"/>
  <c r="K53" i="212"/>
  <c r="J53" i="212"/>
  <c r="I53" i="212"/>
  <c r="I169" i="212" s="1"/>
  <c r="H53" i="212"/>
  <c r="G53" i="212"/>
  <c r="AP51" i="212"/>
  <c r="AO51" i="212"/>
  <c r="AN51" i="212"/>
  <c r="AK51" i="212"/>
  <c r="AJ51" i="212"/>
  <c r="AI51" i="212"/>
  <c r="AH51" i="212"/>
  <c r="AG51" i="212"/>
  <c r="AF51" i="212"/>
  <c r="AE51" i="212"/>
  <c r="AD51" i="212"/>
  <c r="AC51" i="212"/>
  <c r="AB51" i="212"/>
  <c r="AA51" i="212"/>
  <c r="Z51" i="212"/>
  <c r="Y51" i="212"/>
  <c r="X51" i="212"/>
  <c r="W51" i="212"/>
  <c r="V51" i="212"/>
  <c r="V143" i="212" s="1"/>
  <c r="U51" i="212"/>
  <c r="T51" i="212"/>
  <c r="S51" i="212"/>
  <c r="R51" i="212"/>
  <c r="Q51" i="212"/>
  <c r="P51" i="212"/>
  <c r="O51" i="212"/>
  <c r="N51" i="212"/>
  <c r="N174" i="212" s="1"/>
  <c r="M51" i="212"/>
  <c r="L51" i="212"/>
  <c r="K51" i="212"/>
  <c r="J51" i="212"/>
  <c r="I51" i="212"/>
  <c r="H51" i="212"/>
  <c r="G51" i="212"/>
  <c r="AL50" i="212"/>
  <c r="AP49" i="212"/>
  <c r="AO49" i="212"/>
  <c r="AN49" i="212"/>
  <c r="AK49" i="212"/>
  <c r="AJ49" i="212"/>
  <c r="AI49" i="212"/>
  <c r="AH49" i="212"/>
  <c r="AG49" i="212"/>
  <c r="AF49" i="212"/>
  <c r="AE49" i="212"/>
  <c r="AD49" i="212"/>
  <c r="AC49" i="212"/>
  <c r="AB49" i="212"/>
  <c r="AA49" i="212"/>
  <c r="Z49" i="212"/>
  <c r="Y49" i="212"/>
  <c r="X49" i="212"/>
  <c r="W49" i="212"/>
  <c r="V49" i="212"/>
  <c r="U49" i="212"/>
  <c r="T49" i="212"/>
  <c r="S49" i="212"/>
  <c r="R49" i="212"/>
  <c r="Q49" i="212"/>
  <c r="P49" i="212"/>
  <c r="O49" i="212"/>
  <c r="N49" i="212"/>
  <c r="M49" i="212"/>
  <c r="AL49" i="212" s="1"/>
  <c r="L49" i="212"/>
  <c r="K49" i="212"/>
  <c r="J49" i="212"/>
  <c r="I49" i="212"/>
  <c r="H49" i="212"/>
  <c r="G49" i="212"/>
  <c r="AP47" i="212"/>
  <c r="AO47" i="212"/>
  <c r="AN47" i="212"/>
  <c r="AK47" i="212"/>
  <c r="AJ47" i="212"/>
  <c r="AI47" i="212"/>
  <c r="AH47" i="212"/>
  <c r="AG47" i="212"/>
  <c r="AF47" i="212"/>
  <c r="AE47" i="212"/>
  <c r="AD47" i="212"/>
  <c r="AC47" i="212"/>
  <c r="AB47" i="212"/>
  <c r="AA47" i="212"/>
  <c r="Z47" i="212"/>
  <c r="Y47" i="212"/>
  <c r="X47" i="212"/>
  <c r="W47" i="212"/>
  <c r="V47" i="212"/>
  <c r="U47" i="212"/>
  <c r="T47" i="212"/>
  <c r="S47" i="212"/>
  <c r="R47" i="212"/>
  <c r="Q47" i="212"/>
  <c r="P47" i="212"/>
  <c r="O47" i="212"/>
  <c r="N47" i="212"/>
  <c r="M47" i="212"/>
  <c r="L47" i="212"/>
  <c r="K47" i="212"/>
  <c r="J47" i="212"/>
  <c r="I47" i="212"/>
  <c r="H47" i="212"/>
  <c r="G47" i="212"/>
  <c r="AP45" i="212"/>
  <c r="AO45" i="212"/>
  <c r="AN45" i="212"/>
  <c r="AK45" i="212"/>
  <c r="AJ45" i="212"/>
  <c r="AI45" i="212"/>
  <c r="AH45" i="212"/>
  <c r="AG45" i="212"/>
  <c r="AF45" i="212"/>
  <c r="AE45" i="212"/>
  <c r="AD45" i="212"/>
  <c r="AC45" i="212"/>
  <c r="AB45" i="212"/>
  <c r="AA45" i="212"/>
  <c r="Z45" i="212"/>
  <c r="Y45" i="212"/>
  <c r="X45" i="212"/>
  <c r="W45" i="212"/>
  <c r="V45" i="212"/>
  <c r="U45" i="212"/>
  <c r="T45" i="212"/>
  <c r="S45" i="212"/>
  <c r="R45" i="212"/>
  <c r="Q45" i="212"/>
  <c r="P45" i="212"/>
  <c r="O45" i="212"/>
  <c r="N45" i="212"/>
  <c r="M45" i="212"/>
  <c r="L45" i="212"/>
  <c r="K45" i="212"/>
  <c r="J45" i="212"/>
  <c r="I45" i="212"/>
  <c r="H45" i="212"/>
  <c r="G45" i="212"/>
  <c r="AP43" i="212"/>
  <c r="AO43" i="212"/>
  <c r="AN43" i="212"/>
  <c r="AK43" i="212"/>
  <c r="AJ43" i="212"/>
  <c r="AI43" i="212"/>
  <c r="AH43" i="212"/>
  <c r="AG43" i="212"/>
  <c r="AF43" i="212"/>
  <c r="AE43" i="212"/>
  <c r="AD43" i="212"/>
  <c r="AC43" i="212"/>
  <c r="AB43" i="212"/>
  <c r="AA43" i="212"/>
  <c r="Z43" i="212"/>
  <c r="Y43" i="212"/>
  <c r="X43" i="212"/>
  <c r="W43" i="212"/>
  <c r="V43" i="212"/>
  <c r="U43" i="212"/>
  <c r="T43" i="212"/>
  <c r="S43" i="212"/>
  <c r="R43" i="212"/>
  <c r="Q43" i="212"/>
  <c r="P43" i="212"/>
  <c r="O43" i="212"/>
  <c r="N43" i="212"/>
  <c r="M43" i="212"/>
  <c r="L43" i="212"/>
  <c r="K43" i="212"/>
  <c r="J43" i="212"/>
  <c r="I43" i="212"/>
  <c r="H43" i="212"/>
  <c r="G43" i="212"/>
  <c r="AP41" i="212"/>
  <c r="AO41" i="212"/>
  <c r="AN41" i="212"/>
  <c r="AK41" i="212"/>
  <c r="AJ41" i="212"/>
  <c r="AI41" i="212"/>
  <c r="AH41" i="212"/>
  <c r="AG41" i="212"/>
  <c r="AF41" i="212"/>
  <c r="AE41" i="212"/>
  <c r="AD41" i="212"/>
  <c r="AC41" i="212"/>
  <c r="AB41" i="212"/>
  <c r="AA41" i="212"/>
  <c r="Z41" i="212"/>
  <c r="Y41" i="212"/>
  <c r="X41" i="212"/>
  <c r="W41" i="212"/>
  <c r="V41" i="212"/>
  <c r="U41" i="212"/>
  <c r="T41" i="212"/>
  <c r="S41" i="212"/>
  <c r="R41" i="212"/>
  <c r="Q41" i="212"/>
  <c r="P41" i="212"/>
  <c r="O41" i="212"/>
  <c r="N41" i="212"/>
  <c r="M41" i="212"/>
  <c r="L41" i="212"/>
  <c r="K41" i="212"/>
  <c r="J41" i="212"/>
  <c r="I41" i="212"/>
  <c r="H41" i="212"/>
  <c r="G41" i="212"/>
  <c r="AP39" i="212"/>
  <c r="AO39" i="212"/>
  <c r="AN39" i="212"/>
  <c r="AK39" i="212"/>
  <c r="AJ39" i="212"/>
  <c r="AI39" i="212"/>
  <c r="AH39" i="212"/>
  <c r="AG39" i="212"/>
  <c r="AF39" i="212"/>
  <c r="AE39" i="212"/>
  <c r="AD39" i="212"/>
  <c r="AC39" i="212"/>
  <c r="AB39" i="212"/>
  <c r="AA39" i="212"/>
  <c r="Z39" i="212"/>
  <c r="Y39" i="212"/>
  <c r="X39" i="212"/>
  <c r="W39" i="212"/>
  <c r="V39" i="212"/>
  <c r="U39" i="212"/>
  <c r="T39" i="212"/>
  <c r="S39" i="212"/>
  <c r="R39" i="212"/>
  <c r="Q39" i="212"/>
  <c r="P39" i="212"/>
  <c r="O39" i="212"/>
  <c r="N39" i="212"/>
  <c r="M39" i="212"/>
  <c r="L39" i="212"/>
  <c r="K39" i="212"/>
  <c r="J39" i="212"/>
  <c r="I39" i="212"/>
  <c r="H39" i="212"/>
  <c r="G39" i="212"/>
  <c r="AP37" i="212"/>
  <c r="AO37" i="212"/>
  <c r="AN37" i="212"/>
  <c r="AK37" i="212"/>
  <c r="AJ37" i="212"/>
  <c r="AI37" i="212"/>
  <c r="AH37" i="212"/>
  <c r="AG37" i="212"/>
  <c r="AF37" i="212"/>
  <c r="AF169" i="212" s="1"/>
  <c r="AE37" i="212"/>
  <c r="AE169" i="212" s="1"/>
  <c r="AD37" i="212"/>
  <c r="AC37" i="212"/>
  <c r="AB37" i="212"/>
  <c r="AA37" i="212"/>
  <c r="Z37" i="212"/>
  <c r="Y37" i="212"/>
  <c r="X37" i="212"/>
  <c r="X151" i="212" s="1"/>
  <c r="W37" i="212"/>
  <c r="V37" i="212"/>
  <c r="U37" i="212"/>
  <c r="T37" i="212"/>
  <c r="S37" i="212"/>
  <c r="R37" i="212"/>
  <c r="Q37" i="212"/>
  <c r="P37" i="212"/>
  <c r="O37" i="212"/>
  <c r="N37" i="212"/>
  <c r="M37" i="212"/>
  <c r="L37" i="212"/>
  <c r="K37" i="212"/>
  <c r="J37" i="212"/>
  <c r="I37" i="212"/>
  <c r="H37" i="212"/>
  <c r="G37" i="212"/>
  <c r="AP35" i="212"/>
  <c r="AO35" i="212"/>
  <c r="AN35" i="212"/>
  <c r="AK35" i="212"/>
  <c r="AJ35" i="212"/>
  <c r="AI35" i="212"/>
  <c r="AH35" i="212"/>
  <c r="AG35" i="212"/>
  <c r="AF35" i="212"/>
  <c r="AE35" i="212"/>
  <c r="AD35" i="212"/>
  <c r="AC35" i="212"/>
  <c r="AB35" i="212"/>
  <c r="AA35" i="212"/>
  <c r="Z35" i="212"/>
  <c r="Y35" i="212"/>
  <c r="X35" i="212"/>
  <c r="W35" i="212"/>
  <c r="V35" i="212"/>
  <c r="U35" i="212"/>
  <c r="T35" i="212"/>
  <c r="S35" i="212"/>
  <c r="R35" i="212"/>
  <c r="Q35" i="212"/>
  <c r="P35" i="212"/>
  <c r="O35" i="212"/>
  <c r="N35" i="212"/>
  <c r="M35" i="212"/>
  <c r="L35" i="212"/>
  <c r="AL35" i="212" s="1"/>
  <c r="K35" i="212"/>
  <c r="J35" i="212"/>
  <c r="I35" i="212"/>
  <c r="H35" i="212"/>
  <c r="G35" i="212"/>
  <c r="AP33" i="212"/>
  <c r="AO33" i="212"/>
  <c r="AN33" i="212"/>
  <c r="AK33" i="212"/>
  <c r="AJ33" i="212"/>
  <c r="AI33" i="212"/>
  <c r="AH33" i="212"/>
  <c r="AG33" i="212"/>
  <c r="AF33" i="212"/>
  <c r="AE33" i="212"/>
  <c r="AD33" i="212"/>
  <c r="AC33" i="212"/>
  <c r="AB33" i="212"/>
  <c r="AA33" i="212"/>
  <c r="Z33" i="212"/>
  <c r="Y33" i="212"/>
  <c r="X33" i="212"/>
  <c r="W33" i="212"/>
  <c r="V33" i="212"/>
  <c r="U33" i="212"/>
  <c r="T33" i="212"/>
  <c r="S33" i="212"/>
  <c r="S154" i="212" s="1"/>
  <c r="R33" i="212"/>
  <c r="Q33" i="212"/>
  <c r="P33" i="212"/>
  <c r="O33" i="212"/>
  <c r="N33" i="212"/>
  <c r="M33" i="212"/>
  <c r="L33" i="212"/>
  <c r="K33" i="212"/>
  <c r="J33" i="212"/>
  <c r="I33" i="212"/>
  <c r="H33" i="212"/>
  <c r="G33" i="212"/>
  <c r="AP31" i="212"/>
  <c r="AO31" i="212"/>
  <c r="AN31" i="212"/>
  <c r="AK31" i="212"/>
  <c r="AJ31" i="212"/>
  <c r="AI31" i="212"/>
  <c r="AH31" i="212"/>
  <c r="AG31" i="212"/>
  <c r="AF31" i="212"/>
  <c r="AE31" i="212"/>
  <c r="AD31" i="212"/>
  <c r="AC31" i="212"/>
  <c r="AB31" i="212"/>
  <c r="AA31" i="212"/>
  <c r="Z31" i="212"/>
  <c r="Z151" i="212" s="1"/>
  <c r="Y31" i="212"/>
  <c r="X31" i="212"/>
  <c r="W31" i="212"/>
  <c r="V31" i="212"/>
  <c r="U31" i="212"/>
  <c r="T31" i="212"/>
  <c r="S31" i="212"/>
  <c r="R31" i="212"/>
  <c r="Q31" i="212"/>
  <c r="P31" i="212"/>
  <c r="O31" i="212"/>
  <c r="N31" i="212"/>
  <c r="M31" i="212"/>
  <c r="L31" i="212"/>
  <c r="K31" i="212"/>
  <c r="J31" i="212"/>
  <c r="I31" i="212"/>
  <c r="H31" i="212"/>
  <c r="G31" i="212"/>
  <c r="AP29" i="212"/>
  <c r="AO29" i="212"/>
  <c r="AN29" i="212"/>
  <c r="AK29" i="212"/>
  <c r="AJ29" i="212"/>
  <c r="AI29" i="212"/>
  <c r="AH29" i="212"/>
  <c r="AG29" i="212"/>
  <c r="AF29" i="212"/>
  <c r="AE29" i="212"/>
  <c r="AD29" i="212"/>
  <c r="AC29" i="212"/>
  <c r="AB29" i="212"/>
  <c r="AA29" i="212"/>
  <c r="Z29" i="212"/>
  <c r="Y29" i="212"/>
  <c r="X29" i="212"/>
  <c r="W29" i="212"/>
  <c r="V29" i="212"/>
  <c r="U29" i="212"/>
  <c r="T29" i="212"/>
  <c r="S29" i="212"/>
  <c r="R29" i="212"/>
  <c r="Q29" i="212"/>
  <c r="P29" i="212"/>
  <c r="O29" i="212"/>
  <c r="N29" i="212"/>
  <c r="M29" i="212"/>
  <c r="L29" i="212"/>
  <c r="K29" i="212"/>
  <c r="J29" i="212"/>
  <c r="I29" i="212"/>
  <c r="H29" i="212"/>
  <c r="G29" i="212"/>
  <c r="AP27" i="212"/>
  <c r="AO27" i="212"/>
  <c r="AN27" i="212"/>
  <c r="AK27" i="212"/>
  <c r="AJ27" i="212"/>
  <c r="AI27" i="212"/>
  <c r="AH27" i="212"/>
  <c r="AG27" i="212"/>
  <c r="AF27" i="212"/>
  <c r="AE27" i="212"/>
  <c r="AD27" i="212"/>
  <c r="AC27" i="212"/>
  <c r="AB27" i="212"/>
  <c r="AA27" i="212"/>
  <c r="Z27" i="212"/>
  <c r="Y27" i="212"/>
  <c r="X27" i="212"/>
  <c r="W27" i="212"/>
  <c r="V27" i="212"/>
  <c r="U27" i="212"/>
  <c r="T27" i="212"/>
  <c r="S27" i="212"/>
  <c r="R27" i="212"/>
  <c r="Q27" i="212"/>
  <c r="P27" i="212"/>
  <c r="O27" i="212"/>
  <c r="N27" i="212"/>
  <c r="M27" i="212"/>
  <c r="L27" i="212"/>
  <c r="K27" i="212"/>
  <c r="J27" i="212"/>
  <c r="I27" i="212"/>
  <c r="H27" i="212"/>
  <c r="G27" i="212"/>
  <c r="AP25" i="212"/>
  <c r="AO25" i="212"/>
  <c r="AN25" i="212"/>
  <c r="AK25" i="212"/>
  <c r="AJ25" i="212"/>
  <c r="AI25" i="212"/>
  <c r="AH25" i="212"/>
  <c r="AG25" i="212"/>
  <c r="AF25" i="212"/>
  <c r="AE25" i="212"/>
  <c r="AD25" i="212"/>
  <c r="AC25" i="212"/>
  <c r="AB25" i="212"/>
  <c r="AA25" i="212"/>
  <c r="Z25" i="212"/>
  <c r="Y25" i="212"/>
  <c r="X25" i="212"/>
  <c r="W25" i="212"/>
  <c r="V25" i="212"/>
  <c r="U25" i="212"/>
  <c r="T25" i="212"/>
  <c r="S25" i="212"/>
  <c r="R25" i="212"/>
  <c r="Q25" i="212"/>
  <c r="P25" i="212"/>
  <c r="O25" i="212"/>
  <c r="N25" i="212"/>
  <c r="M25" i="212"/>
  <c r="L25" i="212"/>
  <c r="K25" i="212"/>
  <c r="J25" i="212"/>
  <c r="I25" i="212"/>
  <c r="H25" i="212"/>
  <c r="G25" i="212"/>
  <c r="AP23" i="212"/>
  <c r="AO23" i="212"/>
  <c r="AN23" i="212"/>
  <c r="AK23" i="212"/>
  <c r="AJ23" i="212"/>
  <c r="AI23" i="212"/>
  <c r="AH23" i="212"/>
  <c r="AG23" i="212"/>
  <c r="AF23" i="212"/>
  <c r="AE23" i="212"/>
  <c r="AD23" i="212"/>
  <c r="AC23" i="212"/>
  <c r="AC167" i="212" s="1"/>
  <c r="AB23" i="212"/>
  <c r="AA23" i="212"/>
  <c r="Z23" i="212"/>
  <c r="Y23" i="212"/>
  <c r="X23" i="212"/>
  <c r="W23" i="212"/>
  <c r="V23" i="212"/>
  <c r="U23" i="212"/>
  <c r="U143" i="212" s="1"/>
  <c r="T23" i="212"/>
  <c r="S23" i="212"/>
  <c r="R23" i="212"/>
  <c r="Q23" i="212"/>
  <c r="P23" i="212"/>
  <c r="O23" i="212"/>
  <c r="N23" i="212"/>
  <c r="M23" i="212"/>
  <c r="M166" i="212" s="1"/>
  <c r="L23" i="212"/>
  <c r="K23" i="212"/>
  <c r="J23" i="212"/>
  <c r="I23" i="212"/>
  <c r="H23" i="212"/>
  <c r="G23" i="212"/>
  <c r="AP21" i="212"/>
  <c r="AO21" i="212"/>
  <c r="AN21" i="212"/>
  <c r="AK21" i="212"/>
  <c r="AJ21" i="212"/>
  <c r="AI21" i="212"/>
  <c r="AH21" i="212"/>
  <c r="AG21" i="212"/>
  <c r="AF21" i="212"/>
  <c r="AE21" i="212"/>
  <c r="AD21" i="212"/>
  <c r="AC21" i="212"/>
  <c r="AB21" i="212"/>
  <c r="AA21" i="212"/>
  <c r="Z21" i="212"/>
  <c r="Y21" i="212"/>
  <c r="X21" i="212"/>
  <c r="W21" i="212"/>
  <c r="V21" i="212"/>
  <c r="U21" i="212"/>
  <c r="T21" i="212"/>
  <c r="S21" i="212"/>
  <c r="R21" i="212"/>
  <c r="Q21" i="212"/>
  <c r="P21" i="212"/>
  <c r="O21" i="212"/>
  <c r="N21" i="212"/>
  <c r="M21" i="212"/>
  <c r="L21" i="212"/>
  <c r="K21" i="212"/>
  <c r="J21" i="212"/>
  <c r="I21" i="212"/>
  <c r="H21" i="212"/>
  <c r="G21" i="212"/>
  <c r="AP19" i="212"/>
  <c r="AO19" i="212"/>
  <c r="AN19" i="212"/>
  <c r="AK19" i="212"/>
  <c r="AJ19" i="212"/>
  <c r="AI19" i="212"/>
  <c r="AH19" i="212"/>
  <c r="AG19" i="212"/>
  <c r="AF19" i="212"/>
  <c r="AE19" i="212"/>
  <c r="AD19" i="212"/>
  <c r="AC19" i="212"/>
  <c r="AB19" i="212"/>
  <c r="AA19" i="212"/>
  <c r="Z19" i="212"/>
  <c r="Y19" i="212"/>
  <c r="X19" i="212"/>
  <c r="W19" i="212"/>
  <c r="V19" i="212"/>
  <c r="U19" i="212"/>
  <c r="T19" i="212"/>
  <c r="S19" i="212"/>
  <c r="R19" i="212"/>
  <c r="Q19" i="212"/>
  <c r="P19" i="212"/>
  <c r="O19" i="212"/>
  <c r="N19" i="212"/>
  <c r="M19" i="212"/>
  <c r="L19" i="212"/>
  <c r="K19" i="212"/>
  <c r="J19" i="212"/>
  <c r="I19" i="212"/>
  <c r="H19" i="212"/>
  <c r="G19" i="212"/>
  <c r="AL19" i="212" s="1"/>
  <c r="AP17" i="212"/>
  <c r="AO17" i="212"/>
  <c r="AN17" i="212"/>
  <c r="AK17" i="212"/>
  <c r="AJ17" i="212"/>
  <c r="AI17" i="212"/>
  <c r="AH17" i="212"/>
  <c r="AG17" i="212"/>
  <c r="AF17" i="212"/>
  <c r="AE17" i="212"/>
  <c r="AD17" i="212"/>
  <c r="AC17" i="212"/>
  <c r="AB17" i="212"/>
  <c r="AA17" i="212"/>
  <c r="Z17" i="212"/>
  <c r="Y17" i="212"/>
  <c r="X17" i="212"/>
  <c r="W17" i="212"/>
  <c r="V17" i="212"/>
  <c r="U17" i="212"/>
  <c r="T17" i="212"/>
  <c r="S17" i="212"/>
  <c r="R17" i="212"/>
  <c r="Q17" i="212"/>
  <c r="P17" i="212"/>
  <c r="O17" i="212"/>
  <c r="N17" i="212"/>
  <c r="M17" i="212"/>
  <c r="L17" i="212"/>
  <c r="AL17" i="212" s="1"/>
  <c r="K17" i="212"/>
  <c r="J17" i="212"/>
  <c r="I17" i="212"/>
  <c r="H17" i="212"/>
  <c r="G17" i="212"/>
  <c r="AR15" i="212"/>
  <c r="AP15" i="212"/>
  <c r="AO15" i="212"/>
  <c r="AN15" i="212"/>
  <c r="AK15" i="212"/>
  <c r="AJ15" i="212"/>
  <c r="AI15" i="212"/>
  <c r="AI154" i="212" s="1"/>
  <c r="AH15" i="212"/>
  <c r="AH143" i="212" s="1"/>
  <c r="AG15" i="212"/>
  <c r="AF15" i="212"/>
  <c r="AE15" i="212"/>
  <c r="AD15" i="212"/>
  <c r="AC15" i="212"/>
  <c r="AB15" i="212"/>
  <c r="AA15" i="212"/>
  <c r="Z15" i="212"/>
  <c r="Y15" i="212"/>
  <c r="X15" i="212"/>
  <c r="W15" i="212"/>
  <c r="V15" i="212"/>
  <c r="U15" i="212"/>
  <c r="T15" i="212"/>
  <c r="S15" i="212"/>
  <c r="S163" i="212" s="1"/>
  <c r="R15" i="212"/>
  <c r="R163" i="212" s="1"/>
  <c r="Q15" i="212"/>
  <c r="P15" i="212"/>
  <c r="O15" i="212"/>
  <c r="N15" i="212"/>
  <c r="M15" i="212"/>
  <c r="L15" i="212"/>
  <c r="K15" i="212"/>
  <c r="J15" i="212"/>
  <c r="I15" i="212"/>
  <c r="H15" i="212"/>
  <c r="G15" i="212"/>
  <c r="AP13" i="212"/>
  <c r="AR13" i="212" s="1"/>
  <c r="AO13" i="212"/>
  <c r="AN13" i="212"/>
  <c r="AK13" i="212"/>
  <c r="AJ13" i="212"/>
  <c r="AI13" i="212"/>
  <c r="AH13" i="212"/>
  <c r="AG13" i="212"/>
  <c r="AF13" i="212"/>
  <c r="AE13" i="212"/>
  <c r="AD13" i="212"/>
  <c r="AC13" i="212"/>
  <c r="AB13" i="212"/>
  <c r="AA13" i="212"/>
  <c r="Z13" i="212"/>
  <c r="Y13" i="212"/>
  <c r="X13" i="212"/>
  <c r="W13" i="212"/>
  <c r="V13" i="212"/>
  <c r="U13" i="212"/>
  <c r="T13" i="212"/>
  <c r="S13" i="212"/>
  <c r="R13" i="212"/>
  <c r="Q13" i="212"/>
  <c r="P13" i="212"/>
  <c r="O13" i="212"/>
  <c r="N13" i="212"/>
  <c r="M13" i="212"/>
  <c r="L13" i="212"/>
  <c r="K13" i="212"/>
  <c r="J13" i="212"/>
  <c r="I13" i="212"/>
  <c r="H13" i="212"/>
  <c r="G13" i="212"/>
  <c r="AP11" i="212"/>
  <c r="AR11" i="212" s="1"/>
  <c r="AO11" i="212"/>
  <c r="AN11" i="212"/>
  <c r="AK11" i="212"/>
  <c r="AJ11" i="212"/>
  <c r="AI11" i="212"/>
  <c r="AH11" i="212"/>
  <c r="AG11" i="212"/>
  <c r="AF11" i="212"/>
  <c r="AE11" i="212"/>
  <c r="AD11" i="212"/>
  <c r="AC11" i="212"/>
  <c r="AB11" i="212"/>
  <c r="AA11" i="212"/>
  <c r="AA173" i="212" s="1"/>
  <c r="Z11" i="212"/>
  <c r="Y11" i="212"/>
  <c r="X11" i="212"/>
  <c r="W11" i="212"/>
  <c r="V11" i="212"/>
  <c r="U11" i="212"/>
  <c r="T11" i="212"/>
  <c r="S11" i="212"/>
  <c r="S155" i="212" s="1"/>
  <c r="R11" i="212"/>
  <c r="Q11" i="212"/>
  <c r="P11" i="212"/>
  <c r="O11" i="212"/>
  <c r="N11" i="212"/>
  <c r="M11" i="212"/>
  <c r="L11" i="212"/>
  <c r="K11" i="212"/>
  <c r="J11" i="212"/>
  <c r="I11" i="212"/>
  <c r="H11" i="212"/>
  <c r="G11" i="212"/>
  <c r="I9" i="212"/>
  <c r="J9" i="212" s="1"/>
  <c r="K9" i="212" s="1"/>
  <c r="L9" i="212" s="1"/>
  <c r="M9" i="212" s="1"/>
  <c r="N9" i="212" s="1"/>
  <c r="O9" i="212" s="1"/>
  <c r="P9" i="212" s="1"/>
  <c r="Q9" i="212" s="1"/>
  <c r="R9" i="212" s="1"/>
  <c r="S9" i="212" s="1"/>
  <c r="T9" i="212" s="1"/>
  <c r="U9" i="212" s="1"/>
  <c r="V9" i="212" s="1"/>
  <c r="W9" i="212" s="1"/>
  <c r="X9" i="212" s="1"/>
  <c r="Y9" i="212" s="1"/>
  <c r="Z9" i="212" s="1"/>
  <c r="AA9" i="212" s="1"/>
  <c r="AB9" i="212" s="1"/>
  <c r="AC9" i="212" s="1"/>
  <c r="AD9" i="212" s="1"/>
  <c r="AE9" i="212" s="1"/>
  <c r="AF9" i="212" s="1"/>
  <c r="AG9" i="212" s="1"/>
  <c r="AH9" i="212" s="1"/>
  <c r="AI9" i="212" s="1"/>
  <c r="AJ9" i="212" s="1"/>
  <c r="AK9" i="212" s="1"/>
  <c r="G9" i="212"/>
  <c r="H9" i="212" s="1"/>
  <c r="AM6" i="212"/>
  <c r="AL6" i="212"/>
  <c r="C5" i="212"/>
  <c r="AR221" i="211"/>
  <c r="AM175" i="211" s="1"/>
  <c r="AO221" i="211"/>
  <c r="AN221" i="211"/>
  <c r="F221" i="211"/>
  <c r="AR220" i="211"/>
  <c r="AM174" i="211" s="1"/>
  <c r="AO220" i="211"/>
  <c r="AN220" i="211"/>
  <c r="F220" i="211"/>
  <c r="AR219" i="211"/>
  <c r="AO219" i="211"/>
  <c r="AN219" i="211"/>
  <c r="F219" i="211"/>
  <c r="AR218" i="211"/>
  <c r="AO218" i="211"/>
  <c r="AN218" i="211"/>
  <c r="F218" i="211"/>
  <c r="AR217" i="211"/>
  <c r="AO217" i="211"/>
  <c r="AN217" i="211"/>
  <c r="F217" i="211"/>
  <c r="AR216" i="211"/>
  <c r="AO216" i="211"/>
  <c r="AN216" i="211"/>
  <c r="F216" i="211"/>
  <c r="AR215" i="211"/>
  <c r="AO215" i="211"/>
  <c r="AN215" i="211"/>
  <c r="F215" i="211"/>
  <c r="AR214" i="211"/>
  <c r="AM168" i="211" s="1"/>
  <c r="AO214" i="211"/>
  <c r="AN214" i="211"/>
  <c r="F214" i="211"/>
  <c r="AR213" i="211"/>
  <c r="AM167" i="211" s="1"/>
  <c r="AO213" i="211"/>
  <c r="AN213" i="211"/>
  <c r="F213" i="211"/>
  <c r="AR212" i="211"/>
  <c r="AM166" i="211" s="1"/>
  <c r="AO212" i="211"/>
  <c r="AN212" i="211"/>
  <c r="F212" i="211"/>
  <c r="AR211" i="211"/>
  <c r="AO211" i="211"/>
  <c r="AN211" i="211"/>
  <c r="F211" i="211"/>
  <c r="AR210" i="211"/>
  <c r="AM164" i="211" s="1"/>
  <c r="AO210" i="211"/>
  <c r="AN210" i="211"/>
  <c r="F210" i="211"/>
  <c r="AR209" i="211"/>
  <c r="AM163" i="211" s="1"/>
  <c r="AO209" i="211"/>
  <c r="AN209" i="211"/>
  <c r="F209" i="211"/>
  <c r="AR208" i="211"/>
  <c r="AO208" i="211"/>
  <c r="AN208" i="211"/>
  <c r="F208" i="211"/>
  <c r="AR207" i="211"/>
  <c r="AO207" i="211"/>
  <c r="AN207" i="211"/>
  <c r="F207" i="211"/>
  <c r="AR206" i="211"/>
  <c r="AO206" i="211"/>
  <c r="AN206" i="211"/>
  <c r="F206" i="211"/>
  <c r="AR205" i="211"/>
  <c r="AM159" i="211" s="1"/>
  <c r="AO205" i="211"/>
  <c r="AN205" i="211"/>
  <c r="F205" i="211"/>
  <c r="AR204" i="211"/>
  <c r="AM158" i="211" s="1"/>
  <c r="AO204" i="211"/>
  <c r="AN204" i="211"/>
  <c r="F204" i="211"/>
  <c r="AR203" i="211"/>
  <c r="AO203" i="211"/>
  <c r="AN203" i="211"/>
  <c r="F203" i="211"/>
  <c r="AR202" i="211"/>
  <c r="AM156" i="211" s="1"/>
  <c r="AO202" i="211"/>
  <c r="AN202" i="211"/>
  <c r="F202" i="211"/>
  <c r="AR201" i="211"/>
  <c r="AM155" i="211" s="1"/>
  <c r="AO201" i="211"/>
  <c r="AN201" i="211"/>
  <c r="F201" i="211"/>
  <c r="AR200" i="211"/>
  <c r="AO200" i="211"/>
  <c r="AN200" i="211"/>
  <c r="F200" i="211"/>
  <c r="AR199" i="211"/>
  <c r="AO199" i="211"/>
  <c r="AN199" i="211"/>
  <c r="F199" i="211"/>
  <c r="AR198" i="211"/>
  <c r="AM152" i="211" s="1"/>
  <c r="AO198" i="211"/>
  <c r="AN198" i="211"/>
  <c r="F198" i="211"/>
  <c r="AR197" i="211"/>
  <c r="AO197" i="211"/>
  <c r="AN197" i="211"/>
  <c r="F197" i="211"/>
  <c r="N192" i="211"/>
  <c r="AM6" i="211" s="1"/>
  <c r="F175" i="211"/>
  <c r="C175" i="211"/>
  <c r="F174" i="211"/>
  <c r="C174" i="211"/>
  <c r="AM173" i="211"/>
  <c r="F173" i="211"/>
  <c r="C173" i="211"/>
  <c r="AM172" i="211"/>
  <c r="F172" i="211"/>
  <c r="C172" i="211"/>
  <c r="AM171" i="211"/>
  <c r="F171" i="211"/>
  <c r="C171" i="211"/>
  <c r="AM170" i="211"/>
  <c r="F170" i="211"/>
  <c r="C170" i="211"/>
  <c r="AM169" i="211"/>
  <c r="F169" i="211"/>
  <c r="C169" i="211"/>
  <c r="F168" i="211"/>
  <c r="C168" i="211"/>
  <c r="F167" i="211"/>
  <c r="C167" i="211"/>
  <c r="F166" i="211"/>
  <c r="C166" i="211"/>
  <c r="AM165" i="211"/>
  <c r="F165" i="211"/>
  <c r="C165" i="211"/>
  <c r="F164" i="211"/>
  <c r="C164" i="211"/>
  <c r="F163" i="211"/>
  <c r="C163" i="211"/>
  <c r="AM162" i="211"/>
  <c r="F162" i="211"/>
  <c r="C162" i="211"/>
  <c r="AM161" i="211"/>
  <c r="F161" i="211"/>
  <c r="C161" i="211"/>
  <c r="AM160" i="211"/>
  <c r="F160" i="211"/>
  <c r="C160" i="211"/>
  <c r="F159" i="211"/>
  <c r="C159" i="211"/>
  <c r="F158" i="211"/>
  <c r="C158" i="211"/>
  <c r="AM157" i="211"/>
  <c r="F157" i="211"/>
  <c r="C157" i="211"/>
  <c r="F156" i="211"/>
  <c r="C156" i="211"/>
  <c r="F155" i="211"/>
  <c r="C155" i="211"/>
  <c r="AM154" i="211"/>
  <c r="F154" i="211"/>
  <c r="C154" i="211"/>
  <c r="AM153" i="211"/>
  <c r="F153" i="211"/>
  <c r="C153" i="211"/>
  <c r="F152" i="211"/>
  <c r="C152" i="211"/>
  <c r="AM151" i="211"/>
  <c r="F151" i="211"/>
  <c r="C151" i="211"/>
  <c r="AK150" i="211"/>
  <c r="AJ150" i="211"/>
  <c r="AI150" i="211"/>
  <c r="AH150" i="211"/>
  <c r="AG150" i="211"/>
  <c r="AF150" i="211"/>
  <c r="AE150" i="211"/>
  <c r="AD150" i="211"/>
  <c r="AC150" i="211"/>
  <c r="AB150" i="211"/>
  <c r="AA150" i="211"/>
  <c r="Z150" i="211"/>
  <c r="Y150" i="211"/>
  <c r="X150" i="211"/>
  <c r="W150" i="211"/>
  <c r="V150" i="211"/>
  <c r="U150" i="211"/>
  <c r="T150" i="211"/>
  <c r="S150" i="211"/>
  <c r="R150" i="211"/>
  <c r="Q150" i="211"/>
  <c r="P150" i="211"/>
  <c r="O150" i="211"/>
  <c r="N150" i="211"/>
  <c r="M150" i="211"/>
  <c r="L150" i="211"/>
  <c r="K150" i="211"/>
  <c r="J150" i="211"/>
  <c r="I150" i="211"/>
  <c r="H150" i="211"/>
  <c r="G150" i="211"/>
  <c r="AD148" i="211"/>
  <c r="C148" i="211"/>
  <c r="C149" i="211" s="1"/>
  <c r="M148" i="211" s="1"/>
  <c r="U148" i="211" s="1"/>
  <c r="F143" i="211"/>
  <c r="AP141" i="211"/>
  <c r="AO141" i="211"/>
  <c r="AN141" i="211"/>
  <c r="AK141" i="211"/>
  <c r="AJ141" i="211"/>
  <c r="AI141" i="211"/>
  <c r="AH141" i="211"/>
  <c r="AG141" i="211"/>
  <c r="AF141" i="211"/>
  <c r="AE141" i="211"/>
  <c r="AD141" i="211"/>
  <c r="AC141" i="211"/>
  <c r="AB141" i="211"/>
  <c r="AA141" i="211"/>
  <c r="Z141" i="211"/>
  <c r="Y141" i="211"/>
  <c r="X141" i="211"/>
  <c r="W141" i="211"/>
  <c r="V141" i="211"/>
  <c r="U141" i="211"/>
  <c r="T141" i="211"/>
  <c r="S141" i="211"/>
  <c r="R141" i="211"/>
  <c r="Q141" i="211"/>
  <c r="P141" i="211"/>
  <c r="O141" i="211"/>
  <c r="N141" i="211"/>
  <c r="M141" i="211"/>
  <c r="L141" i="211"/>
  <c r="K141" i="211"/>
  <c r="J141" i="211"/>
  <c r="I141" i="211"/>
  <c r="H141" i="211"/>
  <c r="G141" i="211"/>
  <c r="AP139" i="211"/>
  <c r="AO139" i="211"/>
  <c r="AN139" i="211"/>
  <c r="AK139" i="211"/>
  <c r="AJ139" i="211"/>
  <c r="AI139" i="211"/>
  <c r="AH139" i="211"/>
  <c r="AG139" i="211"/>
  <c r="AF139" i="211"/>
  <c r="AE139" i="211"/>
  <c r="AD139" i="211"/>
  <c r="AC139" i="211"/>
  <c r="AB139" i="211"/>
  <c r="AA139" i="211"/>
  <c r="Z139" i="211"/>
  <c r="Y139" i="211"/>
  <c r="X139" i="211"/>
  <c r="W139" i="211"/>
  <c r="V139" i="211"/>
  <c r="U139" i="211"/>
  <c r="T139" i="211"/>
  <c r="S139" i="211"/>
  <c r="R139" i="211"/>
  <c r="Q139" i="211"/>
  <c r="P139" i="211"/>
  <c r="O139" i="211"/>
  <c r="N139" i="211"/>
  <c r="AL139" i="211" s="1"/>
  <c r="M139" i="211"/>
  <c r="L139" i="211"/>
  <c r="K139" i="211"/>
  <c r="J139" i="211"/>
  <c r="I139" i="211"/>
  <c r="H139" i="211"/>
  <c r="G139" i="211"/>
  <c r="AL138" i="211"/>
  <c r="AP137" i="211"/>
  <c r="AO137" i="211"/>
  <c r="AN137" i="211"/>
  <c r="AK137" i="211"/>
  <c r="AJ137" i="211"/>
  <c r="AI137" i="211"/>
  <c r="AH137" i="211"/>
  <c r="AG137" i="211"/>
  <c r="AF137" i="211"/>
  <c r="AE137" i="211"/>
  <c r="AD137" i="211"/>
  <c r="AC137" i="211"/>
  <c r="AB137" i="211"/>
  <c r="AA137" i="211"/>
  <c r="Z137" i="211"/>
  <c r="Y137" i="211"/>
  <c r="X137" i="211"/>
  <c r="W137" i="211"/>
  <c r="V137" i="211"/>
  <c r="U137" i="211"/>
  <c r="T137" i="211"/>
  <c r="S137" i="211"/>
  <c r="R137" i="211"/>
  <c r="Q137" i="211"/>
  <c r="P137" i="211"/>
  <c r="O137" i="211"/>
  <c r="N137" i="211"/>
  <c r="M137" i="211"/>
  <c r="L137" i="211"/>
  <c r="K137" i="211"/>
  <c r="J137" i="211"/>
  <c r="I137" i="211"/>
  <c r="H137" i="211"/>
  <c r="G137" i="211"/>
  <c r="AP135" i="211"/>
  <c r="AO135" i="211"/>
  <c r="AN135" i="211"/>
  <c r="AK135" i="211"/>
  <c r="AJ135" i="211"/>
  <c r="AI135" i="211"/>
  <c r="AH135" i="211"/>
  <c r="AG135" i="211"/>
  <c r="AF135" i="211"/>
  <c r="AE135" i="211"/>
  <c r="AD135" i="211"/>
  <c r="AC135" i="211"/>
  <c r="AB135" i="211"/>
  <c r="AA135" i="211"/>
  <c r="Z135" i="211"/>
  <c r="Y135" i="211"/>
  <c r="X135" i="211"/>
  <c r="W135" i="211"/>
  <c r="V135" i="211"/>
  <c r="U135" i="211"/>
  <c r="T135" i="211"/>
  <c r="S135" i="211"/>
  <c r="R135" i="211"/>
  <c r="Q135" i="211"/>
  <c r="P135" i="211"/>
  <c r="O135" i="211"/>
  <c r="N135" i="211"/>
  <c r="M135" i="211"/>
  <c r="L135" i="211"/>
  <c r="K135" i="211"/>
  <c r="J135" i="211"/>
  <c r="I135" i="211"/>
  <c r="H135" i="211"/>
  <c r="G135" i="211"/>
  <c r="AP133" i="211"/>
  <c r="AO133" i="211"/>
  <c r="AN133" i="211"/>
  <c r="AK133" i="211"/>
  <c r="AJ133" i="211"/>
  <c r="AI133" i="211"/>
  <c r="AH133" i="211"/>
  <c r="AG133" i="211"/>
  <c r="AF133" i="211"/>
  <c r="AE133" i="211"/>
  <c r="AD133" i="211"/>
  <c r="AC133" i="211"/>
  <c r="AB133" i="211"/>
  <c r="AA133" i="211"/>
  <c r="Z133" i="211"/>
  <c r="Y133" i="211"/>
  <c r="X133" i="211"/>
  <c r="W133" i="211"/>
  <c r="V133" i="211"/>
  <c r="U133" i="211"/>
  <c r="T133" i="211"/>
  <c r="S133" i="211"/>
  <c r="R133" i="211"/>
  <c r="Q133" i="211"/>
  <c r="P133" i="211"/>
  <c r="O133" i="211"/>
  <c r="N133" i="211"/>
  <c r="M133" i="211"/>
  <c r="L133" i="211"/>
  <c r="K133" i="211"/>
  <c r="J133" i="211"/>
  <c r="I133" i="211"/>
  <c r="H133" i="211"/>
  <c r="G133" i="211"/>
  <c r="AP131" i="211"/>
  <c r="AO131" i="211"/>
  <c r="AN131" i="211"/>
  <c r="AK131" i="211"/>
  <c r="AJ131" i="211"/>
  <c r="AI131" i="211"/>
  <c r="AH131" i="211"/>
  <c r="AG131" i="211"/>
  <c r="AF131" i="211"/>
  <c r="AE131" i="211"/>
  <c r="AD131" i="211"/>
  <c r="AC131" i="211"/>
  <c r="AB131" i="211"/>
  <c r="AA131" i="211"/>
  <c r="Z131" i="211"/>
  <c r="Y131" i="211"/>
  <c r="X131" i="211"/>
  <c r="W131" i="211"/>
  <c r="V131" i="211"/>
  <c r="U131" i="211"/>
  <c r="T131" i="211"/>
  <c r="S131" i="211"/>
  <c r="R131" i="211"/>
  <c r="Q131" i="211"/>
  <c r="P131" i="211"/>
  <c r="O131" i="211"/>
  <c r="N131" i="211"/>
  <c r="M131" i="211"/>
  <c r="L131" i="211"/>
  <c r="K131" i="211"/>
  <c r="J131" i="211"/>
  <c r="I131" i="211"/>
  <c r="H131" i="211"/>
  <c r="G131" i="211"/>
  <c r="AP129" i="211"/>
  <c r="AO129" i="211"/>
  <c r="AN129" i="211"/>
  <c r="AK129" i="211"/>
  <c r="AJ129" i="211"/>
  <c r="AI129" i="211"/>
  <c r="AH129" i="211"/>
  <c r="AG129" i="211"/>
  <c r="AF129" i="211"/>
  <c r="AE129" i="211"/>
  <c r="AD129" i="211"/>
  <c r="AC129" i="211"/>
  <c r="AB129" i="211"/>
  <c r="AA129" i="211"/>
  <c r="Z129" i="211"/>
  <c r="Y129" i="211"/>
  <c r="X129" i="211"/>
  <c r="W129" i="211"/>
  <c r="V129" i="211"/>
  <c r="U129" i="211"/>
  <c r="T129" i="211"/>
  <c r="S129" i="211"/>
  <c r="R129" i="211"/>
  <c r="Q129" i="211"/>
  <c r="P129" i="211"/>
  <c r="O129" i="211"/>
  <c r="N129" i="211"/>
  <c r="AL129" i="211" s="1"/>
  <c r="M129" i="211"/>
  <c r="L129" i="211"/>
  <c r="K129" i="211"/>
  <c r="J129" i="211"/>
  <c r="I129" i="211"/>
  <c r="H129" i="211"/>
  <c r="G129" i="211"/>
  <c r="AL128" i="211"/>
  <c r="AP127" i="211"/>
  <c r="AO127" i="211"/>
  <c r="AN127" i="211"/>
  <c r="AK127" i="211"/>
  <c r="AJ127" i="211"/>
  <c r="AI127" i="211"/>
  <c r="AH127" i="211"/>
  <c r="AG127" i="211"/>
  <c r="AF127" i="211"/>
  <c r="AE127" i="211"/>
  <c r="AD127" i="211"/>
  <c r="AC127" i="211"/>
  <c r="AB127" i="211"/>
  <c r="AA127" i="211"/>
  <c r="Z127" i="211"/>
  <c r="Y127" i="211"/>
  <c r="X127" i="211"/>
  <c r="W127" i="211"/>
  <c r="V127" i="211"/>
  <c r="U127" i="211"/>
  <c r="T127" i="211"/>
  <c r="S127" i="211"/>
  <c r="R127" i="211"/>
  <c r="Q127" i="211"/>
  <c r="P127" i="211"/>
  <c r="O127" i="211"/>
  <c r="N127" i="211"/>
  <c r="M127" i="211"/>
  <c r="L127" i="211"/>
  <c r="K127" i="211"/>
  <c r="J127" i="211"/>
  <c r="I127" i="211"/>
  <c r="H127" i="211"/>
  <c r="G127" i="211"/>
  <c r="AP125" i="211"/>
  <c r="AO125" i="211"/>
  <c r="AN125" i="211"/>
  <c r="AK125" i="211"/>
  <c r="AJ125" i="211"/>
  <c r="AI125" i="211"/>
  <c r="AH125" i="211"/>
  <c r="AG125" i="211"/>
  <c r="AF125" i="211"/>
  <c r="AE125" i="211"/>
  <c r="AD125" i="211"/>
  <c r="AC125" i="211"/>
  <c r="AB125" i="211"/>
  <c r="AA125" i="211"/>
  <c r="Z125" i="211"/>
  <c r="Y125" i="211"/>
  <c r="X125" i="211"/>
  <c r="W125" i="211"/>
  <c r="V125" i="211"/>
  <c r="U125" i="211"/>
  <c r="T125" i="211"/>
  <c r="S125" i="211"/>
  <c r="R125" i="211"/>
  <c r="Q125" i="211"/>
  <c r="P125" i="211"/>
  <c r="O125" i="211"/>
  <c r="N125" i="211"/>
  <c r="M125" i="211"/>
  <c r="L125" i="211"/>
  <c r="K125" i="211"/>
  <c r="J125" i="211"/>
  <c r="I125" i="211"/>
  <c r="H125" i="211"/>
  <c r="G125" i="211"/>
  <c r="AP123" i="211"/>
  <c r="AO123" i="211"/>
  <c r="AN123" i="211"/>
  <c r="AK123" i="211"/>
  <c r="AJ123" i="211"/>
  <c r="AI123" i="211"/>
  <c r="AH123" i="211"/>
  <c r="AG123" i="211"/>
  <c r="AF123" i="211"/>
  <c r="AE123" i="211"/>
  <c r="AD123" i="211"/>
  <c r="AC123" i="211"/>
  <c r="AB123" i="211"/>
  <c r="AA123" i="211"/>
  <c r="Z123" i="211"/>
  <c r="Y123" i="211"/>
  <c r="X123" i="211"/>
  <c r="W123" i="211"/>
  <c r="V123" i="211"/>
  <c r="U123" i="211"/>
  <c r="T123" i="211"/>
  <c r="S123" i="211"/>
  <c r="R123" i="211"/>
  <c r="Q123" i="211"/>
  <c r="P123" i="211"/>
  <c r="O123" i="211"/>
  <c r="N123" i="211"/>
  <c r="AL123" i="211" s="1"/>
  <c r="M123" i="211"/>
  <c r="L123" i="211"/>
  <c r="K123" i="211"/>
  <c r="J123" i="211"/>
  <c r="I123" i="211"/>
  <c r="H123" i="211"/>
  <c r="G123" i="211"/>
  <c r="AL122" i="211"/>
  <c r="AP121" i="211"/>
  <c r="AO121" i="211"/>
  <c r="AN121" i="211"/>
  <c r="AK121" i="211"/>
  <c r="AJ121" i="211"/>
  <c r="AI121" i="211"/>
  <c r="AH121" i="211"/>
  <c r="AG121" i="211"/>
  <c r="AF121" i="211"/>
  <c r="AE121" i="211"/>
  <c r="AD121" i="211"/>
  <c r="AC121" i="211"/>
  <c r="AB121" i="211"/>
  <c r="AA121" i="211"/>
  <c r="Z121" i="211"/>
  <c r="Y121" i="211"/>
  <c r="X121" i="211"/>
  <c r="W121" i="211"/>
  <c r="V121" i="211"/>
  <c r="U121" i="211"/>
  <c r="T121" i="211"/>
  <c r="S121" i="211"/>
  <c r="R121" i="211"/>
  <c r="Q121" i="211"/>
  <c r="P121" i="211"/>
  <c r="O121" i="211"/>
  <c r="N121" i="211"/>
  <c r="M121" i="211"/>
  <c r="L121" i="211"/>
  <c r="K121" i="211"/>
  <c r="J121" i="211"/>
  <c r="I121" i="211"/>
  <c r="H121" i="211"/>
  <c r="G121" i="211"/>
  <c r="AP119" i="211"/>
  <c r="AO119" i="211"/>
  <c r="AN119" i="211"/>
  <c r="AK119" i="211"/>
  <c r="AJ119" i="211"/>
  <c r="AI119" i="211"/>
  <c r="AH119" i="211"/>
  <c r="AG119" i="211"/>
  <c r="AF119" i="211"/>
  <c r="AE119" i="211"/>
  <c r="AD119" i="211"/>
  <c r="AC119" i="211"/>
  <c r="AB119" i="211"/>
  <c r="AA119" i="211"/>
  <c r="Z119" i="211"/>
  <c r="Y119" i="211"/>
  <c r="X119" i="211"/>
  <c r="W119" i="211"/>
  <c r="V119" i="211"/>
  <c r="U119" i="211"/>
  <c r="T119" i="211"/>
  <c r="S119" i="211"/>
  <c r="R119" i="211"/>
  <c r="Q119" i="211"/>
  <c r="P119" i="211"/>
  <c r="O119" i="211"/>
  <c r="N119" i="211"/>
  <c r="M119" i="211"/>
  <c r="L119" i="211"/>
  <c r="K119" i="211"/>
  <c r="J119" i="211"/>
  <c r="I119" i="211"/>
  <c r="H119" i="211"/>
  <c r="G119" i="211"/>
  <c r="AP117" i="211"/>
  <c r="AO117" i="211"/>
  <c r="AN117" i="211"/>
  <c r="AK117" i="211"/>
  <c r="AJ117" i="211"/>
  <c r="AI117" i="211"/>
  <c r="AH117" i="211"/>
  <c r="AG117" i="211"/>
  <c r="AF117" i="211"/>
  <c r="AE117" i="211"/>
  <c r="AD117" i="211"/>
  <c r="AC117" i="211"/>
  <c r="AB117" i="211"/>
  <c r="AA117" i="211"/>
  <c r="Z117" i="211"/>
  <c r="Y117" i="211"/>
  <c r="X117" i="211"/>
  <c r="W117" i="211"/>
  <c r="V117" i="211"/>
  <c r="U117" i="211"/>
  <c r="T117" i="211"/>
  <c r="S117" i="211"/>
  <c r="R117" i="211"/>
  <c r="Q117" i="211"/>
  <c r="P117" i="211"/>
  <c r="O117" i="211"/>
  <c r="N117" i="211"/>
  <c r="M117" i="211"/>
  <c r="L117" i="211"/>
  <c r="K117" i="211"/>
  <c r="J117" i="211"/>
  <c r="I117" i="211"/>
  <c r="H117" i="211"/>
  <c r="G117" i="211"/>
  <c r="AP115" i="211"/>
  <c r="AO115" i="211"/>
  <c r="AN115" i="211"/>
  <c r="AK115" i="211"/>
  <c r="AJ115" i="211"/>
  <c r="AI115" i="211"/>
  <c r="AH115" i="211"/>
  <c r="AG115" i="211"/>
  <c r="AF115" i="211"/>
  <c r="AE115" i="211"/>
  <c r="AD115" i="211"/>
  <c r="AC115" i="211"/>
  <c r="AB115" i="211"/>
  <c r="AA115" i="211"/>
  <c r="Z115" i="211"/>
  <c r="Y115" i="211"/>
  <c r="X115" i="211"/>
  <c r="W115" i="211"/>
  <c r="V115" i="211"/>
  <c r="U115" i="211"/>
  <c r="T115" i="211"/>
  <c r="S115" i="211"/>
  <c r="R115" i="211"/>
  <c r="Q115" i="211"/>
  <c r="P115" i="211"/>
  <c r="O115" i="211"/>
  <c r="N115" i="211"/>
  <c r="AL115" i="211" s="1"/>
  <c r="M115" i="211"/>
  <c r="L115" i="211"/>
  <c r="K115" i="211"/>
  <c r="J115" i="211"/>
  <c r="I115" i="211"/>
  <c r="H115" i="211"/>
  <c r="G115" i="211"/>
  <c r="AL114" i="211"/>
  <c r="AP113" i="211"/>
  <c r="AO113" i="211"/>
  <c r="AN113" i="211"/>
  <c r="AK113" i="211"/>
  <c r="AJ113" i="211"/>
  <c r="AI113" i="211"/>
  <c r="AH113" i="211"/>
  <c r="AG113" i="211"/>
  <c r="AF113" i="211"/>
  <c r="AE113" i="211"/>
  <c r="AD113" i="211"/>
  <c r="AC113" i="211"/>
  <c r="AB113" i="211"/>
  <c r="AA113" i="211"/>
  <c r="Z113" i="211"/>
  <c r="Y113" i="211"/>
  <c r="X113" i="211"/>
  <c r="W113" i="211"/>
  <c r="V113" i="211"/>
  <c r="U113" i="211"/>
  <c r="T113" i="211"/>
  <c r="S113" i="211"/>
  <c r="R113" i="211"/>
  <c r="Q113" i="211"/>
  <c r="P113" i="211"/>
  <c r="O113" i="211"/>
  <c r="N113" i="211"/>
  <c r="M113" i="211"/>
  <c r="L113" i="211"/>
  <c r="K113" i="211"/>
  <c r="J113" i="211"/>
  <c r="I113" i="211"/>
  <c r="H113" i="211"/>
  <c r="G113" i="211"/>
  <c r="AP111" i="211"/>
  <c r="AO111" i="211"/>
  <c r="AN111" i="211"/>
  <c r="AK111" i="211"/>
  <c r="AJ111" i="211"/>
  <c r="AI111" i="211"/>
  <c r="AH111" i="211"/>
  <c r="AG111" i="211"/>
  <c r="AF111" i="211"/>
  <c r="AE111" i="211"/>
  <c r="AD111" i="211"/>
  <c r="AC111" i="211"/>
  <c r="AB111" i="211"/>
  <c r="AA111" i="211"/>
  <c r="Z111" i="211"/>
  <c r="Y111" i="211"/>
  <c r="X111" i="211"/>
  <c r="W111" i="211"/>
  <c r="V111" i="211"/>
  <c r="U111" i="211"/>
  <c r="T111" i="211"/>
  <c r="S111" i="211"/>
  <c r="R111" i="211"/>
  <c r="Q111" i="211"/>
  <c r="P111" i="211"/>
  <c r="O111" i="211"/>
  <c r="N111" i="211"/>
  <c r="M111" i="211"/>
  <c r="L111" i="211"/>
  <c r="K111" i="211"/>
  <c r="J111" i="211"/>
  <c r="I111" i="211"/>
  <c r="H111" i="211"/>
  <c r="G111" i="211"/>
  <c r="AP109" i="211"/>
  <c r="AO109" i="211"/>
  <c r="AN109" i="211"/>
  <c r="AK109" i="211"/>
  <c r="AJ109" i="211"/>
  <c r="AI109" i="211"/>
  <c r="AH109" i="211"/>
  <c r="AG109" i="211"/>
  <c r="AF109" i="211"/>
  <c r="AE109" i="211"/>
  <c r="AD109" i="211"/>
  <c r="AC109" i="211"/>
  <c r="AB109" i="211"/>
  <c r="AA109" i="211"/>
  <c r="Z109" i="211"/>
  <c r="Y109" i="211"/>
  <c r="X109" i="211"/>
  <c r="W109" i="211"/>
  <c r="V109" i="211"/>
  <c r="U109" i="211"/>
  <c r="T109" i="211"/>
  <c r="S109" i="211"/>
  <c r="R109" i="211"/>
  <c r="Q109" i="211"/>
  <c r="P109" i="211"/>
  <c r="O109" i="211"/>
  <c r="N109" i="211"/>
  <c r="AL109" i="211" s="1"/>
  <c r="M109" i="211"/>
  <c r="L109" i="211"/>
  <c r="K109" i="211"/>
  <c r="J109" i="211"/>
  <c r="I109" i="211"/>
  <c r="H109" i="211"/>
  <c r="G109" i="211"/>
  <c r="AL108" i="211"/>
  <c r="AP107" i="211"/>
  <c r="AO107" i="211"/>
  <c r="AN107" i="211"/>
  <c r="AK107" i="211"/>
  <c r="AJ107" i="211"/>
  <c r="AI107" i="211"/>
  <c r="AH107" i="211"/>
  <c r="AG107" i="211"/>
  <c r="AF107" i="211"/>
  <c r="AE107" i="211"/>
  <c r="AD107" i="211"/>
  <c r="AC107" i="211"/>
  <c r="AB107" i="211"/>
  <c r="AA107" i="211"/>
  <c r="Z107" i="211"/>
  <c r="Y107" i="211"/>
  <c r="X107" i="211"/>
  <c r="W107" i="211"/>
  <c r="V107" i="211"/>
  <c r="U107" i="211"/>
  <c r="T107" i="211"/>
  <c r="S107" i="211"/>
  <c r="R107" i="211"/>
  <c r="Q107" i="211"/>
  <c r="P107" i="211"/>
  <c r="O107" i="211"/>
  <c r="N107" i="211"/>
  <c r="M107" i="211"/>
  <c r="L107" i="211"/>
  <c r="K107" i="211"/>
  <c r="J107" i="211"/>
  <c r="I107" i="211"/>
  <c r="H107" i="211"/>
  <c r="G107" i="211"/>
  <c r="AP105" i="211"/>
  <c r="AO105" i="211"/>
  <c r="AN105" i="211"/>
  <c r="AK105" i="211"/>
  <c r="AJ105" i="211"/>
  <c r="AI105" i="211"/>
  <c r="AH105" i="211"/>
  <c r="AG105" i="211"/>
  <c r="AF105" i="211"/>
  <c r="AE105" i="211"/>
  <c r="AD105" i="211"/>
  <c r="AC105" i="211"/>
  <c r="AB105" i="211"/>
  <c r="AA105" i="211"/>
  <c r="Z105" i="211"/>
  <c r="Y105" i="211"/>
  <c r="X105" i="211"/>
  <c r="W105" i="211"/>
  <c r="V105" i="211"/>
  <c r="U105" i="211"/>
  <c r="T105" i="211"/>
  <c r="S105" i="211"/>
  <c r="R105" i="211"/>
  <c r="Q105" i="211"/>
  <c r="P105" i="211"/>
  <c r="O105" i="211"/>
  <c r="N105" i="211"/>
  <c r="M105" i="211"/>
  <c r="L105" i="211"/>
  <c r="K105" i="211"/>
  <c r="J105" i="211"/>
  <c r="I105" i="211"/>
  <c r="H105" i="211"/>
  <c r="G105" i="211"/>
  <c r="AP103" i="211"/>
  <c r="AO103" i="211"/>
  <c r="AN103" i="211"/>
  <c r="AK103" i="211"/>
  <c r="AJ103" i="211"/>
  <c r="AI103" i="211"/>
  <c r="AH103" i="211"/>
  <c r="AG103" i="211"/>
  <c r="AF103" i="211"/>
  <c r="AE103" i="211"/>
  <c r="AD103" i="211"/>
  <c r="AC103" i="211"/>
  <c r="AB103" i="211"/>
  <c r="AA103" i="211"/>
  <c r="Z103" i="211"/>
  <c r="Y103" i="211"/>
  <c r="X103" i="211"/>
  <c r="W103" i="211"/>
  <c r="V103" i="211"/>
  <c r="U103" i="211"/>
  <c r="T103" i="211"/>
  <c r="S103" i="211"/>
  <c r="R103" i="211"/>
  <c r="Q103" i="211"/>
  <c r="P103" i="211"/>
  <c r="O103" i="211"/>
  <c r="N103" i="211"/>
  <c r="AL103" i="211" s="1"/>
  <c r="M103" i="211"/>
  <c r="L103" i="211"/>
  <c r="K103" i="211"/>
  <c r="J103" i="211"/>
  <c r="I103" i="211"/>
  <c r="H103" i="211"/>
  <c r="G103" i="211"/>
  <c r="AL102" i="211"/>
  <c r="AP101" i="211"/>
  <c r="AO101" i="211"/>
  <c r="AN101" i="211"/>
  <c r="AK101" i="211"/>
  <c r="AJ101" i="211"/>
  <c r="AI101" i="211"/>
  <c r="AH101" i="211"/>
  <c r="AG101" i="211"/>
  <c r="AF101" i="211"/>
  <c r="AE101" i="211"/>
  <c r="AD101" i="211"/>
  <c r="AC101" i="211"/>
  <c r="AB101" i="211"/>
  <c r="AA101" i="211"/>
  <c r="Z101" i="211"/>
  <c r="Y101" i="211"/>
  <c r="X101" i="211"/>
  <c r="W101" i="211"/>
  <c r="V101" i="211"/>
  <c r="U101" i="211"/>
  <c r="T101" i="211"/>
  <c r="S101" i="211"/>
  <c r="R101" i="211"/>
  <c r="Q101" i="211"/>
  <c r="P101" i="211"/>
  <c r="O101" i="211"/>
  <c r="N101" i="211"/>
  <c r="M101" i="211"/>
  <c r="L101" i="211"/>
  <c r="K101" i="211"/>
  <c r="J101" i="211"/>
  <c r="I101" i="211"/>
  <c r="H101" i="211"/>
  <c r="G101" i="211"/>
  <c r="AP99" i="211"/>
  <c r="AO99" i="211"/>
  <c r="AN99" i="211"/>
  <c r="AK99" i="211"/>
  <c r="AJ99" i="211"/>
  <c r="AI99" i="211"/>
  <c r="AH99" i="211"/>
  <c r="AG99" i="211"/>
  <c r="AF99" i="211"/>
  <c r="AE99" i="211"/>
  <c r="AD99" i="211"/>
  <c r="AC99" i="211"/>
  <c r="AB99" i="211"/>
  <c r="AA99" i="211"/>
  <c r="Z99" i="211"/>
  <c r="Y99" i="211"/>
  <c r="X99" i="211"/>
  <c r="W99" i="211"/>
  <c r="V99" i="211"/>
  <c r="U99" i="211"/>
  <c r="T99" i="211"/>
  <c r="S99" i="211"/>
  <c r="R99" i="211"/>
  <c r="Q99" i="211"/>
  <c r="P99" i="211"/>
  <c r="O99" i="211"/>
  <c r="N99" i="211"/>
  <c r="M99" i="211"/>
  <c r="L99" i="211"/>
  <c r="K99" i="211"/>
  <c r="J99" i="211"/>
  <c r="I99" i="211"/>
  <c r="H99" i="211"/>
  <c r="G99" i="211"/>
  <c r="AP97" i="211"/>
  <c r="AO97" i="211"/>
  <c r="AN97" i="211"/>
  <c r="AK97" i="211"/>
  <c r="AJ97" i="211"/>
  <c r="AI97" i="211"/>
  <c r="AH97" i="211"/>
  <c r="AG97" i="211"/>
  <c r="AF97" i="211"/>
  <c r="AE97" i="211"/>
  <c r="AD97" i="211"/>
  <c r="AC97" i="211"/>
  <c r="AB97" i="211"/>
  <c r="AA97" i="211"/>
  <c r="Z97" i="211"/>
  <c r="Y97" i="211"/>
  <c r="X97" i="211"/>
  <c r="W97" i="211"/>
  <c r="V97" i="211"/>
  <c r="U97" i="211"/>
  <c r="T97" i="211"/>
  <c r="S97" i="211"/>
  <c r="R97" i="211"/>
  <c r="Q97" i="211"/>
  <c r="P97" i="211"/>
  <c r="O97" i="211"/>
  <c r="N97" i="211"/>
  <c r="AL97" i="211" s="1"/>
  <c r="M97" i="211"/>
  <c r="L97" i="211"/>
  <c r="K97" i="211"/>
  <c r="J97" i="211"/>
  <c r="I97" i="211"/>
  <c r="H97" i="211"/>
  <c r="G97" i="211"/>
  <c r="AL96" i="211"/>
  <c r="AP95" i="211"/>
  <c r="AO95" i="211"/>
  <c r="AN95" i="211"/>
  <c r="AK95" i="211"/>
  <c r="AJ95" i="211"/>
  <c r="AI95" i="211"/>
  <c r="AH95" i="211"/>
  <c r="AG95" i="211"/>
  <c r="AF95" i="211"/>
  <c r="AE95" i="211"/>
  <c r="AD95" i="211"/>
  <c r="AC95" i="211"/>
  <c r="AB95" i="211"/>
  <c r="AA95" i="211"/>
  <c r="Z95" i="211"/>
  <c r="Y95" i="211"/>
  <c r="X95" i="211"/>
  <c r="W95" i="211"/>
  <c r="V95" i="211"/>
  <c r="U95" i="211"/>
  <c r="T95" i="211"/>
  <c r="S95" i="211"/>
  <c r="R95" i="211"/>
  <c r="Q95" i="211"/>
  <c r="P95" i="211"/>
  <c r="O95" i="211"/>
  <c r="N95" i="211"/>
  <c r="M95" i="211"/>
  <c r="AL95" i="211" s="1"/>
  <c r="L95" i="211"/>
  <c r="K95" i="211"/>
  <c r="J95" i="211"/>
  <c r="I95" i="211"/>
  <c r="H95" i="211"/>
  <c r="G95" i="211"/>
  <c r="AP93" i="211"/>
  <c r="AO93" i="211"/>
  <c r="AN93" i="211"/>
  <c r="AK93" i="211"/>
  <c r="AJ93" i="211"/>
  <c r="AI93" i="211"/>
  <c r="AH93" i="211"/>
  <c r="AG93" i="211"/>
  <c r="AF93" i="211"/>
  <c r="AE93" i="211"/>
  <c r="AD93" i="211"/>
  <c r="AC93" i="211"/>
  <c r="AB93" i="211"/>
  <c r="AA93" i="211"/>
  <c r="Z93" i="211"/>
  <c r="Y93" i="211"/>
  <c r="X93" i="211"/>
  <c r="W93" i="211"/>
  <c r="V93" i="211"/>
  <c r="U93" i="211"/>
  <c r="T93" i="211"/>
  <c r="S93" i="211"/>
  <c r="R93" i="211"/>
  <c r="Q93" i="211"/>
  <c r="P93" i="211"/>
  <c r="O93" i="211"/>
  <c r="N93" i="211"/>
  <c r="M93" i="211"/>
  <c r="L93" i="211"/>
  <c r="K93" i="211"/>
  <c r="J93" i="211"/>
  <c r="I93" i="211"/>
  <c r="H93" i="211"/>
  <c r="G93" i="211"/>
  <c r="AL92" i="211"/>
  <c r="AP91" i="211"/>
  <c r="AO91" i="211"/>
  <c r="AN91" i="211"/>
  <c r="AK91" i="211"/>
  <c r="AJ91" i="211"/>
  <c r="AI91" i="211"/>
  <c r="AH91" i="211"/>
  <c r="AG91" i="211"/>
  <c r="AF91" i="211"/>
  <c r="AE91" i="211"/>
  <c r="AD91" i="211"/>
  <c r="AC91" i="211"/>
  <c r="AB91" i="211"/>
  <c r="AA91" i="211"/>
  <c r="Z91" i="211"/>
  <c r="Y91" i="211"/>
  <c r="X91" i="211"/>
  <c r="W91" i="211"/>
  <c r="V91" i="211"/>
  <c r="U91" i="211"/>
  <c r="T91" i="211"/>
  <c r="S91" i="211"/>
  <c r="R91" i="211"/>
  <c r="Q91" i="211"/>
  <c r="P91" i="211"/>
  <c r="O91" i="211"/>
  <c r="N91" i="211"/>
  <c r="M91" i="211"/>
  <c r="L91" i="211"/>
  <c r="K91" i="211"/>
  <c r="J91" i="211"/>
  <c r="I91" i="211"/>
  <c r="H91" i="211"/>
  <c r="G91" i="211"/>
  <c r="AP89" i="211"/>
  <c r="AO89" i="211"/>
  <c r="AN89" i="211"/>
  <c r="AK89" i="211"/>
  <c r="AJ89" i="211"/>
  <c r="AI89" i="211"/>
  <c r="AH89" i="211"/>
  <c r="AG89" i="211"/>
  <c r="AF89" i="211"/>
  <c r="AE89" i="211"/>
  <c r="AE170" i="211" s="1"/>
  <c r="AD89" i="211"/>
  <c r="AC89" i="211"/>
  <c r="AB89" i="211"/>
  <c r="AA89" i="211"/>
  <c r="Z89" i="211"/>
  <c r="Y89" i="211"/>
  <c r="X89" i="211"/>
  <c r="W89" i="211"/>
  <c r="V89" i="211"/>
  <c r="U89" i="211"/>
  <c r="T89" i="211"/>
  <c r="S89" i="211"/>
  <c r="R89" i="211"/>
  <c r="Q89" i="211"/>
  <c r="P89" i="211"/>
  <c r="O89" i="211"/>
  <c r="N89" i="211"/>
  <c r="M89" i="211"/>
  <c r="L89" i="211"/>
  <c r="K89" i="211"/>
  <c r="J89" i="211"/>
  <c r="I89" i="211"/>
  <c r="H89" i="211"/>
  <c r="G89" i="211"/>
  <c r="AP87" i="211"/>
  <c r="AO87" i="211"/>
  <c r="AN87" i="211"/>
  <c r="AK87" i="211"/>
  <c r="AJ87" i="211"/>
  <c r="AI87" i="211"/>
  <c r="AH87" i="211"/>
  <c r="AG87" i="211"/>
  <c r="AF87" i="211"/>
  <c r="AE87" i="211"/>
  <c r="AD87" i="211"/>
  <c r="AC87" i="211"/>
  <c r="AB87" i="211"/>
  <c r="AA87" i="211"/>
  <c r="Z87" i="211"/>
  <c r="Y87" i="211"/>
  <c r="X87" i="211"/>
  <c r="W87" i="211"/>
  <c r="V87" i="211"/>
  <c r="U87" i="211"/>
  <c r="T87" i="211"/>
  <c r="S87" i="211"/>
  <c r="R87" i="211"/>
  <c r="Q87" i="211"/>
  <c r="P87" i="211"/>
  <c r="O87" i="211"/>
  <c r="N87" i="211"/>
  <c r="M87" i="211"/>
  <c r="L87" i="211"/>
  <c r="K87" i="211"/>
  <c r="J87" i="211"/>
  <c r="I87" i="211"/>
  <c r="H87" i="211"/>
  <c r="G87" i="211"/>
  <c r="AP85" i="211"/>
  <c r="AO85" i="211"/>
  <c r="AN85" i="211"/>
  <c r="AK85" i="211"/>
  <c r="AJ85" i="211"/>
  <c r="AI85" i="211"/>
  <c r="AH85" i="211"/>
  <c r="AG85" i="211"/>
  <c r="AF85" i="211"/>
  <c r="AE85" i="211"/>
  <c r="AD85" i="211"/>
  <c r="AC85" i="211"/>
  <c r="AB85" i="211"/>
  <c r="AA85" i="211"/>
  <c r="Z85" i="211"/>
  <c r="Y85" i="211"/>
  <c r="X85" i="211"/>
  <c r="W85" i="211"/>
  <c r="V85" i="211"/>
  <c r="U85" i="211"/>
  <c r="T85" i="211"/>
  <c r="S85" i="211"/>
  <c r="R85" i="211"/>
  <c r="Q85" i="211"/>
  <c r="P85" i="211"/>
  <c r="O85" i="211"/>
  <c r="N85" i="211"/>
  <c r="M85" i="211"/>
  <c r="L85" i="211"/>
  <c r="K85" i="211"/>
  <c r="J85" i="211"/>
  <c r="I85" i="211"/>
  <c r="H85" i="211"/>
  <c r="G85" i="211"/>
  <c r="AP83" i="211"/>
  <c r="AO83" i="211"/>
  <c r="AN83" i="211"/>
  <c r="AK83" i="211"/>
  <c r="AJ83" i="211"/>
  <c r="AI83" i="211"/>
  <c r="AH83" i="211"/>
  <c r="AG83" i="211"/>
  <c r="AF83" i="211"/>
  <c r="AE83" i="211"/>
  <c r="AD83" i="211"/>
  <c r="AC83" i="211"/>
  <c r="AB83" i="211"/>
  <c r="AA83" i="211"/>
  <c r="Z83" i="211"/>
  <c r="Y83" i="211"/>
  <c r="X83" i="211"/>
  <c r="W83" i="211"/>
  <c r="V83" i="211"/>
  <c r="U83" i="211"/>
  <c r="T83" i="211"/>
  <c r="S83" i="211"/>
  <c r="R83" i="211"/>
  <c r="Q83" i="211"/>
  <c r="P83" i="211"/>
  <c r="O83" i="211"/>
  <c r="N83" i="211"/>
  <c r="M83" i="211"/>
  <c r="L83" i="211"/>
  <c r="K83" i="211"/>
  <c r="J83" i="211"/>
  <c r="I83" i="211"/>
  <c r="H83" i="211"/>
  <c r="G83" i="211"/>
  <c r="AP81" i="211"/>
  <c r="AO81" i="211"/>
  <c r="AN81" i="211"/>
  <c r="AK81" i="211"/>
  <c r="AJ81" i="211"/>
  <c r="AI81" i="211"/>
  <c r="AH81" i="211"/>
  <c r="AG81" i="211"/>
  <c r="AF81" i="211"/>
  <c r="AE81" i="211"/>
  <c r="AD81" i="211"/>
  <c r="AC81" i="211"/>
  <c r="AB81" i="211"/>
  <c r="AA81" i="211"/>
  <c r="Z81" i="211"/>
  <c r="Y81" i="211"/>
  <c r="X81" i="211"/>
  <c r="W81" i="211"/>
  <c r="V81" i="211"/>
  <c r="U81" i="211"/>
  <c r="T81" i="211"/>
  <c r="S81" i="211"/>
  <c r="R81" i="211"/>
  <c r="Q81" i="211"/>
  <c r="P81" i="211"/>
  <c r="O81" i="211"/>
  <c r="N81" i="211"/>
  <c r="AL81" i="211" s="1"/>
  <c r="M81" i="211"/>
  <c r="L81" i="211"/>
  <c r="K81" i="211"/>
  <c r="J81" i="211"/>
  <c r="I81" i="211"/>
  <c r="H81" i="211"/>
  <c r="G81" i="211"/>
  <c r="AL80" i="211"/>
  <c r="AP79" i="211"/>
  <c r="AO79" i="211"/>
  <c r="AN79" i="211"/>
  <c r="AK79" i="211"/>
  <c r="AJ79" i="211"/>
  <c r="AI79" i="211"/>
  <c r="AH79" i="211"/>
  <c r="AG79" i="211"/>
  <c r="AF79" i="211"/>
  <c r="AE79" i="211"/>
  <c r="AD79" i="211"/>
  <c r="AC79" i="211"/>
  <c r="AB79" i="211"/>
  <c r="AA79" i="211"/>
  <c r="Z79" i="211"/>
  <c r="Y79" i="211"/>
  <c r="X79" i="211"/>
  <c r="W79" i="211"/>
  <c r="V79" i="211"/>
  <c r="U79" i="211"/>
  <c r="T79" i="211"/>
  <c r="S79" i="211"/>
  <c r="R79" i="211"/>
  <c r="Q79" i="211"/>
  <c r="P79" i="211"/>
  <c r="O79" i="211"/>
  <c r="N79" i="211"/>
  <c r="M79" i="211"/>
  <c r="L79" i="211"/>
  <c r="AL79" i="211" s="1"/>
  <c r="K79" i="211"/>
  <c r="J79" i="211"/>
  <c r="I79" i="211"/>
  <c r="H79" i="211"/>
  <c r="G79" i="211"/>
  <c r="AP77" i="211"/>
  <c r="AO77" i="211"/>
  <c r="AN77" i="211"/>
  <c r="AK77" i="211"/>
  <c r="AJ77" i="211"/>
  <c r="AI77" i="211"/>
  <c r="AH77" i="211"/>
  <c r="AG77" i="211"/>
  <c r="AF77" i="211"/>
  <c r="AE77" i="211"/>
  <c r="AD77" i="211"/>
  <c r="AC77" i="211"/>
  <c r="AB77" i="211"/>
  <c r="AA77" i="211"/>
  <c r="Z77" i="211"/>
  <c r="Y77" i="211"/>
  <c r="X77" i="211"/>
  <c r="W77" i="211"/>
  <c r="V77" i="211"/>
  <c r="U77" i="211"/>
  <c r="T77" i="211"/>
  <c r="S77" i="211"/>
  <c r="R77" i="211"/>
  <c r="Q77" i="211"/>
  <c r="P77" i="211"/>
  <c r="O77" i="211"/>
  <c r="N77" i="211"/>
  <c r="M77" i="211"/>
  <c r="L77" i="211"/>
  <c r="K77" i="211"/>
  <c r="J77" i="211"/>
  <c r="I77" i="211"/>
  <c r="H77" i="211"/>
  <c r="G77" i="211"/>
  <c r="AP75" i="211"/>
  <c r="AO75" i="211"/>
  <c r="AN75" i="211"/>
  <c r="AK75" i="211"/>
  <c r="AJ75" i="211"/>
  <c r="AI75" i="211"/>
  <c r="AH75" i="211"/>
  <c r="AG75" i="211"/>
  <c r="AF75" i="211"/>
  <c r="AE75" i="211"/>
  <c r="AD75" i="211"/>
  <c r="AC75" i="211"/>
  <c r="AB75" i="211"/>
  <c r="AA75" i="211"/>
  <c r="Z75" i="211"/>
  <c r="Y75" i="211"/>
  <c r="X75" i="211"/>
  <c r="W75" i="211"/>
  <c r="V75" i="211"/>
  <c r="U75" i="211"/>
  <c r="T75" i="211"/>
  <c r="S75" i="211"/>
  <c r="R75" i="211"/>
  <c r="Q75" i="211"/>
  <c r="P75" i="211"/>
  <c r="O75" i="211"/>
  <c r="N75" i="211"/>
  <c r="M75" i="211"/>
  <c r="L75" i="211"/>
  <c r="K75" i="211"/>
  <c r="J75" i="211"/>
  <c r="I75" i="211"/>
  <c r="H75" i="211"/>
  <c r="G75" i="211"/>
  <c r="AP73" i="211"/>
  <c r="AO73" i="211"/>
  <c r="AN73" i="211"/>
  <c r="AK73" i="211"/>
  <c r="AJ73" i="211"/>
  <c r="AI73" i="211"/>
  <c r="AH73" i="211"/>
  <c r="AG73" i="211"/>
  <c r="AF73" i="211"/>
  <c r="AE73" i="211"/>
  <c r="AD73" i="211"/>
  <c r="AC73" i="211"/>
  <c r="AB73" i="211"/>
  <c r="AA73" i="211"/>
  <c r="Z73" i="211"/>
  <c r="Y73" i="211"/>
  <c r="X73" i="211"/>
  <c r="W73" i="211"/>
  <c r="V73" i="211"/>
  <c r="U73" i="211"/>
  <c r="T73" i="211"/>
  <c r="S73" i="211"/>
  <c r="R73" i="211"/>
  <c r="Q73" i="211"/>
  <c r="P73" i="211"/>
  <c r="O73" i="211"/>
  <c r="N73" i="211"/>
  <c r="M73" i="211"/>
  <c r="L73" i="211"/>
  <c r="K73" i="211"/>
  <c r="J73" i="211"/>
  <c r="I73" i="211"/>
  <c r="H73" i="211"/>
  <c r="G73" i="211"/>
  <c r="AP71" i="211"/>
  <c r="AO71" i="211"/>
  <c r="AN71" i="211"/>
  <c r="AK71" i="211"/>
  <c r="AJ71" i="211"/>
  <c r="AI71" i="211"/>
  <c r="AI161" i="211" s="1"/>
  <c r="AH71" i="211"/>
  <c r="AG71" i="211"/>
  <c r="AF71" i="211"/>
  <c r="AE71" i="211"/>
  <c r="AD71" i="211"/>
  <c r="AC71" i="211"/>
  <c r="AB71" i="211"/>
  <c r="AA71" i="211"/>
  <c r="Z71" i="211"/>
  <c r="Y71" i="211"/>
  <c r="X71" i="211"/>
  <c r="W71" i="211"/>
  <c r="V71" i="211"/>
  <c r="U71" i="211"/>
  <c r="T71" i="211"/>
  <c r="S71" i="211"/>
  <c r="S167" i="211" s="1"/>
  <c r="R71" i="211"/>
  <c r="Q71" i="211"/>
  <c r="P71" i="211"/>
  <c r="O71" i="211"/>
  <c r="N71" i="211"/>
  <c r="M71" i="211"/>
  <c r="L71" i="211"/>
  <c r="K71" i="211"/>
  <c r="J71" i="211"/>
  <c r="I71" i="211"/>
  <c r="H71" i="211"/>
  <c r="G71" i="211"/>
  <c r="AP69" i="211"/>
  <c r="AO69" i="211"/>
  <c r="AN69" i="211"/>
  <c r="AK69" i="211"/>
  <c r="AJ69" i="211"/>
  <c r="AI69" i="211"/>
  <c r="AH69" i="211"/>
  <c r="AG69" i="211"/>
  <c r="AF69" i="211"/>
  <c r="AE69" i="211"/>
  <c r="AD69" i="211"/>
  <c r="AC69" i="211"/>
  <c r="AB69" i="211"/>
  <c r="AA69" i="211"/>
  <c r="Z69" i="211"/>
  <c r="Y69" i="211"/>
  <c r="X69" i="211"/>
  <c r="W69" i="211"/>
  <c r="V69" i="211"/>
  <c r="U69" i="211"/>
  <c r="T69" i="211"/>
  <c r="S69" i="211"/>
  <c r="R69" i="211"/>
  <c r="Q69" i="211"/>
  <c r="P69" i="211"/>
  <c r="O69" i="211"/>
  <c r="N69" i="211"/>
  <c r="M69" i="211"/>
  <c r="L69" i="211"/>
  <c r="K69" i="211"/>
  <c r="J69" i="211"/>
  <c r="I69" i="211"/>
  <c r="H69" i="211"/>
  <c r="G69" i="211"/>
  <c r="AP67" i="211"/>
  <c r="AO67" i="211"/>
  <c r="AN67" i="211"/>
  <c r="AK67" i="211"/>
  <c r="AJ67" i="211"/>
  <c r="AI67" i="211"/>
  <c r="AH67" i="211"/>
  <c r="AG67" i="211"/>
  <c r="AF67" i="211"/>
  <c r="AE67" i="211"/>
  <c r="AD67" i="211"/>
  <c r="AC67" i="211"/>
  <c r="AB67" i="211"/>
  <c r="AA67" i="211"/>
  <c r="Z67" i="211"/>
  <c r="Y67" i="211"/>
  <c r="X67" i="211"/>
  <c r="W67" i="211"/>
  <c r="V67" i="211"/>
  <c r="U67" i="211"/>
  <c r="T67" i="211"/>
  <c r="S67" i="211"/>
  <c r="R67" i="211"/>
  <c r="Q67" i="211"/>
  <c r="P67" i="211"/>
  <c r="O67" i="211"/>
  <c r="N67" i="211"/>
  <c r="M67" i="211"/>
  <c r="L67" i="211"/>
  <c r="AL67" i="211" s="1"/>
  <c r="K67" i="211"/>
  <c r="J67" i="211"/>
  <c r="I67" i="211"/>
  <c r="H67" i="211"/>
  <c r="G67" i="211"/>
  <c r="AP65" i="211"/>
  <c r="AO65" i="211"/>
  <c r="AN65" i="211"/>
  <c r="AK65" i="211"/>
  <c r="AJ65" i="211"/>
  <c r="AI65" i="211"/>
  <c r="AH65" i="211"/>
  <c r="AG65" i="211"/>
  <c r="AF65" i="211"/>
  <c r="AE65" i="211"/>
  <c r="AD65" i="211"/>
  <c r="AC65" i="211"/>
  <c r="AB65" i="211"/>
  <c r="AA65" i="211"/>
  <c r="Z65" i="211"/>
  <c r="Y65" i="211"/>
  <c r="X65" i="211"/>
  <c r="W65" i="211"/>
  <c r="V65" i="211"/>
  <c r="U65" i="211"/>
  <c r="T65" i="211"/>
  <c r="S65" i="211"/>
  <c r="R65" i="211"/>
  <c r="Q65" i="211"/>
  <c r="P65" i="211"/>
  <c r="O65" i="211"/>
  <c r="N65" i="211"/>
  <c r="M65" i="211"/>
  <c r="L65" i="211"/>
  <c r="K65" i="211"/>
  <c r="J65" i="211"/>
  <c r="I65" i="211"/>
  <c r="H65" i="211"/>
  <c r="G65" i="211"/>
  <c r="AP63" i="211"/>
  <c r="AO63" i="211"/>
  <c r="AN63" i="211"/>
  <c r="AK63" i="211"/>
  <c r="AJ63" i="211"/>
  <c r="AI63" i="211"/>
  <c r="AH63" i="211"/>
  <c r="AG63" i="211"/>
  <c r="AF63" i="211"/>
  <c r="AE63" i="211"/>
  <c r="AD63" i="211"/>
  <c r="AC63" i="211"/>
  <c r="AB63" i="211"/>
  <c r="AA63" i="211"/>
  <c r="Z63" i="211"/>
  <c r="Y63" i="211"/>
  <c r="X63" i="211"/>
  <c r="W63" i="211"/>
  <c r="V63" i="211"/>
  <c r="U63" i="211"/>
  <c r="T63" i="211"/>
  <c r="S63" i="211"/>
  <c r="R63" i="211"/>
  <c r="Q63" i="211"/>
  <c r="P63" i="211"/>
  <c r="O63" i="211"/>
  <c r="N63" i="211"/>
  <c r="M63" i="211"/>
  <c r="L63" i="211"/>
  <c r="K63" i="211"/>
  <c r="J63" i="211"/>
  <c r="I63" i="211"/>
  <c r="H63" i="211"/>
  <c r="G63" i="211"/>
  <c r="AP61" i="211"/>
  <c r="AO61" i="211"/>
  <c r="AN61" i="211"/>
  <c r="AK61" i="211"/>
  <c r="AJ61" i="211"/>
  <c r="AI61" i="211"/>
  <c r="AH61" i="211"/>
  <c r="AG61" i="211"/>
  <c r="AF61" i="211"/>
  <c r="AE61" i="211"/>
  <c r="AD61" i="211"/>
  <c r="AC61" i="211"/>
  <c r="AB61" i="211"/>
  <c r="AA61" i="211"/>
  <c r="Z61" i="211"/>
  <c r="Y61" i="211"/>
  <c r="X61" i="211"/>
  <c r="W61" i="211"/>
  <c r="V61" i="211"/>
  <c r="U61" i="211"/>
  <c r="T61" i="211"/>
  <c r="S61" i="211"/>
  <c r="R61" i="211"/>
  <c r="Q61" i="211"/>
  <c r="P61" i="211"/>
  <c r="O61" i="211"/>
  <c r="N61" i="211"/>
  <c r="M61" i="211"/>
  <c r="L61" i="211"/>
  <c r="K61" i="211"/>
  <c r="J61" i="211"/>
  <c r="I61" i="211"/>
  <c r="H61" i="211"/>
  <c r="G61" i="211"/>
  <c r="AP59" i="211"/>
  <c r="AO59" i="211"/>
  <c r="AN59" i="211"/>
  <c r="AK59" i="211"/>
  <c r="AJ59" i="211"/>
  <c r="AI59" i="211"/>
  <c r="AH59" i="211"/>
  <c r="AG59" i="211"/>
  <c r="AF59" i="211"/>
  <c r="AE59" i="211"/>
  <c r="AD59" i="211"/>
  <c r="AC59" i="211"/>
  <c r="AB59" i="211"/>
  <c r="AA59" i="211"/>
  <c r="Z59" i="211"/>
  <c r="Y59" i="211"/>
  <c r="X59" i="211"/>
  <c r="W59" i="211"/>
  <c r="V59" i="211"/>
  <c r="U59" i="211"/>
  <c r="T59" i="211"/>
  <c r="S59" i="211"/>
  <c r="R59" i="211"/>
  <c r="Q59" i="211"/>
  <c r="P59" i="211"/>
  <c r="O59" i="211"/>
  <c r="N59" i="211"/>
  <c r="M59" i="211"/>
  <c r="L59" i="211"/>
  <c r="K59" i="211"/>
  <c r="J59" i="211"/>
  <c r="I59" i="211"/>
  <c r="H59" i="211"/>
  <c r="G59" i="211"/>
  <c r="AP57" i="211"/>
  <c r="AO57" i="211"/>
  <c r="AN57" i="211"/>
  <c r="AK57" i="211"/>
  <c r="AJ57" i="211"/>
  <c r="AI57" i="211"/>
  <c r="AH57" i="211"/>
  <c r="AG57" i="211"/>
  <c r="AF57" i="211"/>
  <c r="AE57" i="211"/>
  <c r="AD57" i="211"/>
  <c r="AC57" i="211"/>
  <c r="AB57" i="211"/>
  <c r="AA57" i="211"/>
  <c r="Z57" i="211"/>
  <c r="Y57" i="211"/>
  <c r="X57" i="211"/>
  <c r="W57" i="211"/>
  <c r="V57" i="211"/>
  <c r="U57" i="211"/>
  <c r="T57" i="211"/>
  <c r="S57" i="211"/>
  <c r="R57" i="211"/>
  <c r="Q57" i="211"/>
  <c r="P57" i="211"/>
  <c r="O57" i="211"/>
  <c r="N57" i="211"/>
  <c r="M57" i="211"/>
  <c r="L57" i="211"/>
  <c r="K57" i="211"/>
  <c r="J57" i="211"/>
  <c r="I57" i="211"/>
  <c r="H57" i="211"/>
  <c r="G57" i="211"/>
  <c r="AP55" i="211"/>
  <c r="AO55" i="211"/>
  <c r="AN55" i="211"/>
  <c r="AK55" i="211"/>
  <c r="AJ55" i="211"/>
  <c r="AI55" i="211"/>
  <c r="AH55" i="211"/>
  <c r="AG55" i="211"/>
  <c r="AF55" i="211"/>
  <c r="AE55" i="211"/>
  <c r="AD55" i="211"/>
  <c r="AC55" i="211"/>
  <c r="AB55" i="211"/>
  <c r="AA55" i="211"/>
  <c r="Z55" i="211"/>
  <c r="Y55" i="211"/>
  <c r="X55" i="211"/>
  <c r="W55" i="211"/>
  <c r="V55" i="211"/>
  <c r="U55" i="211"/>
  <c r="T55" i="211"/>
  <c r="S55" i="211"/>
  <c r="R55" i="211"/>
  <c r="Q55" i="211"/>
  <c r="P55" i="211"/>
  <c r="O55" i="211"/>
  <c r="N55" i="211"/>
  <c r="AL55" i="211" s="1"/>
  <c r="M55" i="211"/>
  <c r="L55" i="211"/>
  <c r="K55" i="211"/>
  <c r="J55" i="211"/>
  <c r="I55" i="211"/>
  <c r="H55" i="211"/>
  <c r="G55" i="211"/>
  <c r="AL54" i="211"/>
  <c r="AP53" i="211"/>
  <c r="AO53" i="211"/>
  <c r="AN53" i="211"/>
  <c r="AK53" i="211"/>
  <c r="AJ53" i="211"/>
  <c r="AI53" i="211"/>
  <c r="AH53" i="211"/>
  <c r="AG53" i="211"/>
  <c r="AF53" i="211"/>
  <c r="AE53" i="211"/>
  <c r="AD53" i="211"/>
  <c r="AC53" i="211"/>
  <c r="AB53" i="211"/>
  <c r="AA53" i="211"/>
  <c r="Z53" i="211"/>
  <c r="Y53" i="211"/>
  <c r="X53" i="211"/>
  <c r="W53" i="211"/>
  <c r="V53" i="211"/>
  <c r="U53" i="211"/>
  <c r="T53" i="211"/>
  <c r="S53" i="211"/>
  <c r="R53" i="211"/>
  <c r="Q53" i="211"/>
  <c r="P53" i="211"/>
  <c r="O53" i="211"/>
  <c r="N53" i="211"/>
  <c r="AL53" i="211" s="1"/>
  <c r="M53" i="211"/>
  <c r="L53" i="211"/>
  <c r="K53" i="211"/>
  <c r="J53" i="211"/>
  <c r="I53" i="211"/>
  <c r="H53" i="211"/>
  <c r="G53" i="211"/>
  <c r="AL52" i="211"/>
  <c r="AP51" i="211"/>
  <c r="AO51" i="211"/>
  <c r="AN51" i="211"/>
  <c r="AK51" i="211"/>
  <c r="AJ51" i="211"/>
  <c r="AI51" i="211"/>
  <c r="AH51" i="211"/>
  <c r="AG51" i="211"/>
  <c r="AF51" i="211"/>
  <c r="AE51" i="211"/>
  <c r="AD51" i="211"/>
  <c r="AC51" i="211"/>
  <c r="AB51" i="211"/>
  <c r="AB160" i="211" s="1"/>
  <c r="AA51" i="211"/>
  <c r="Z51" i="211"/>
  <c r="Y51" i="211"/>
  <c r="X51" i="211"/>
  <c r="W51" i="211"/>
  <c r="V51" i="211"/>
  <c r="U51" i="211"/>
  <c r="T51" i="211"/>
  <c r="T158" i="211" s="1"/>
  <c r="S51" i="211"/>
  <c r="R51" i="211"/>
  <c r="Q51" i="211"/>
  <c r="P51" i="211"/>
  <c r="O51" i="211"/>
  <c r="N51" i="211"/>
  <c r="M51" i="211"/>
  <c r="L51" i="211"/>
  <c r="L164" i="211" s="1"/>
  <c r="K51" i="211"/>
  <c r="J51" i="211"/>
  <c r="I51" i="211"/>
  <c r="H51" i="211"/>
  <c r="G51" i="211"/>
  <c r="AP49" i="211"/>
  <c r="AO49" i="211"/>
  <c r="AN49" i="211"/>
  <c r="AK49" i="211"/>
  <c r="AJ49" i="211"/>
  <c r="AI49" i="211"/>
  <c r="AH49" i="211"/>
  <c r="AG49" i="211"/>
  <c r="AF49" i="211"/>
  <c r="AE49" i="211"/>
  <c r="AD49" i="211"/>
  <c r="AC49" i="211"/>
  <c r="AB49" i="211"/>
  <c r="AA49" i="211"/>
  <c r="Z49" i="211"/>
  <c r="Y49" i="211"/>
  <c r="X49" i="211"/>
  <c r="W49" i="211"/>
  <c r="V49" i="211"/>
  <c r="U49" i="211"/>
  <c r="T49" i="211"/>
  <c r="S49" i="211"/>
  <c r="R49" i="211"/>
  <c r="Q49" i="211"/>
  <c r="P49" i="211"/>
  <c r="O49" i="211"/>
  <c r="N49" i="211"/>
  <c r="M49" i="211"/>
  <c r="L49" i="211"/>
  <c r="K49" i="211"/>
  <c r="J49" i="211"/>
  <c r="I49" i="211"/>
  <c r="H49" i="211"/>
  <c r="G49" i="211"/>
  <c r="AP47" i="211"/>
  <c r="AO47" i="211"/>
  <c r="AN47" i="211"/>
  <c r="AK47" i="211"/>
  <c r="AJ47" i="211"/>
  <c r="AI47" i="211"/>
  <c r="AH47" i="211"/>
  <c r="AG47" i="211"/>
  <c r="AF47" i="211"/>
  <c r="AE47" i="211"/>
  <c r="AD47" i="211"/>
  <c r="AC47" i="211"/>
  <c r="AB47" i="211"/>
  <c r="AA47" i="211"/>
  <c r="Z47" i="211"/>
  <c r="Y47" i="211"/>
  <c r="X47" i="211"/>
  <c r="W47" i="211"/>
  <c r="V47" i="211"/>
  <c r="U47" i="211"/>
  <c r="T47" i="211"/>
  <c r="S47" i="211"/>
  <c r="R47" i="211"/>
  <c r="Q47" i="211"/>
  <c r="P47" i="211"/>
  <c r="O47" i="211"/>
  <c r="N47" i="211"/>
  <c r="M47" i="211"/>
  <c r="L47" i="211"/>
  <c r="K47" i="211"/>
  <c r="J47" i="211"/>
  <c r="I47" i="211"/>
  <c r="H47" i="211"/>
  <c r="G47" i="211"/>
  <c r="AP45" i="211"/>
  <c r="AO45" i="211"/>
  <c r="AN45" i="211"/>
  <c r="AK45" i="211"/>
  <c r="AJ45" i="211"/>
  <c r="AI45" i="211"/>
  <c r="AH45" i="211"/>
  <c r="AG45" i="211"/>
  <c r="AF45" i="211"/>
  <c r="AE45" i="211"/>
  <c r="AD45" i="211"/>
  <c r="AC45" i="211"/>
  <c r="AB45" i="211"/>
  <c r="AA45" i="211"/>
  <c r="Z45" i="211"/>
  <c r="Y45" i="211"/>
  <c r="X45" i="211"/>
  <c r="W45" i="211"/>
  <c r="V45" i="211"/>
  <c r="U45" i="211"/>
  <c r="T45" i="211"/>
  <c r="S45" i="211"/>
  <c r="R45" i="211"/>
  <c r="Q45" i="211"/>
  <c r="P45" i="211"/>
  <c r="O45" i="211"/>
  <c r="N45" i="211"/>
  <c r="M45" i="211"/>
  <c r="AL45" i="211" s="1"/>
  <c r="L45" i="211"/>
  <c r="K45" i="211"/>
  <c r="J45" i="211"/>
  <c r="I45" i="211"/>
  <c r="H45" i="211"/>
  <c r="G45" i="211"/>
  <c r="AP43" i="211"/>
  <c r="AO43" i="211"/>
  <c r="AN43" i="211"/>
  <c r="AK43" i="211"/>
  <c r="AJ43" i="211"/>
  <c r="AI43" i="211"/>
  <c r="AH43" i="211"/>
  <c r="AG43" i="211"/>
  <c r="AF43" i="211"/>
  <c r="AE43" i="211"/>
  <c r="AD43" i="211"/>
  <c r="AC43" i="211"/>
  <c r="AB43" i="211"/>
  <c r="AA43" i="211"/>
  <c r="Z43" i="211"/>
  <c r="Y43" i="211"/>
  <c r="X43" i="211"/>
  <c r="W43" i="211"/>
  <c r="V43" i="211"/>
  <c r="U43" i="211"/>
  <c r="T43" i="211"/>
  <c r="S43" i="211"/>
  <c r="R43" i="211"/>
  <c r="Q43" i="211"/>
  <c r="P43" i="211"/>
  <c r="O43" i="211"/>
  <c r="N43" i="211"/>
  <c r="M43" i="211"/>
  <c r="L43" i="211"/>
  <c r="K43" i="211"/>
  <c r="J43" i="211"/>
  <c r="I43" i="211"/>
  <c r="H43" i="211"/>
  <c r="G43" i="211"/>
  <c r="AP41" i="211"/>
  <c r="AO41" i="211"/>
  <c r="AN41" i="211"/>
  <c r="AK41" i="211"/>
  <c r="AJ41" i="211"/>
  <c r="AI41" i="211"/>
  <c r="AH41" i="211"/>
  <c r="AG41" i="211"/>
  <c r="AF41" i="211"/>
  <c r="AE41" i="211"/>
  <c r="AD41" i="211"/>
  <c r="AC41" i="211"/>
  <c r="AB41" i="211"/>
  <c r="AA41" i="211"/>
  <c r="Z41" i="211"/>
  <c r="Z173" i="211" s="1"/>
  <c r="Y41" i="211"/>
  <c r="X41" i="211"/>
  <c r="W41" i="211"/>
  <c r="V41" i="211"/>
  <c r="U41" i="211"/>
  <c r="T41" i="211"/>
  <c r="S41" i="211"/>
  <c r="R41" i="211"/>
  <c r="R160" i="211" s="1"/>
  <c r="Q41" i="211"/>
  <c r="P41" i="211"/>
  <c r="O41" i="211"/>
  <c r="N41" i="211"/>
  <c r="M41" i="211"/>
  <c r="L41" i="211"/>
  <c r="K41" i="211"/>
  <c r="J41" i="211"/>
  <c r="I41" i="211"/>
  <c r="H41" i="211"/>
  <c r="G41" i="211"/>
  <c r="AP39" i="211"/>
  <c r="AO39" i="211"/>
  <c r="AN39" i="211"/>
  <c r="AK39" i="211"/>
  <c r="AJ39" i="211"/>
  <c r="AI39" i="211"/>
  <c r="AH39" i="211"/>
  <c r="AG39" i="211"/>
  <c r="AF39" i="211"/>
  <c r="AE39" i="211"/>
  <c r="AD39" i="211"/>
  <c r="AC39" i="211"/>
  <c r="AB39" i="211"/>
  <c r="AA39" i="211"/>
  <c r="Z39" i="211"/>
  <c r="Y39" i="211"/>
  <c r="X39" i="211"/>
  <c r="W39" i="211"/>
  <c r="W165" i="211" s="1"/>
  <c r="V39" i="211"/>
  <c r="V165" i="211" s="1"/>
  <c r="U39" i="211"/>
  <c r="T39" i="211"/>
  <c r="S39" i="211"/>
  <c r="R39" i="211"/>
  <c r="Q39" i="211"/>
  <c r="P39" i="211"/>
  <c r="O39" i="211"/>
  <c r="O169" i="211" s="1"/>
  <c r="N39" i="211"/>
  <c r="AL39" i="211" s="1"/>
  <c r="M39" i="211"/>
  <c r="L39" i="211"/>
  <c r="K39" i="211"/>
  <c r="J39" i="211"/>
  <c r="I39" i="211"/>
  <c r="H39" i="211"/>
  <c r="G39" i="211"/>
  <c r="G156" i="211" s="1"/>
  <c r="AL38" i="211"/>
  <c r="AP37" i="211"/>
  <c r="AO37" i="211"/>
  <c r="AN37" i="211"/>
  <c r="AK37" i="211"/>
  <c r="AJ37" i="211"/>
  <c r="AI37" i="211"/>
  <c r="AH37" i="211"/>
  <c r="AH163" i="211" s="1"/>
  <c r="AG37" i="211"/>
  <c r="AF37" i="211"/>
  <c r="AE37" i="211"/>
  <c r="AD37" i="211"/>
  <c r="AC37" i="211"/>
  <c r="AB37" i="211"/>
  <c r="AA37" i="211"/>
  <c r="Z37" i="211"/>
  <c r="Z164" i="211" s="1"/>
  <c r="Y37" i="211"/>
  <c r="X37" i="211"/>
  <c r="W37" i="211"/>
  <c r="V37" i="211"/>
  <c r="U37" i="211"/>
  <c r="T37" i="211"/>
  <c r="S37" i="211"/>
  <c r="R37" i="211"/>
  <c r="Q37" i="211"/>
  <c r="P37" i="211"/>
  <c r="O37" i="211"/>
  <c r="N37" i="211"/>
  <c r="M37" i="211"/>
  <c r="L37" i="211"/>
  <c r="K37" i="211"/>
  <c r="J37" i="211"/>
  <c r="J162" i="211" s="1"/>
  <c r="I37" i="211"/>
  <c r="H37" i="211"/>
  <c r="G37" i="211"/>
  <c r="AP35" i="211"/>
  <c r="AO35" i="211"/>
  <c r="AN35" i="211"/>
  <c r="AK35" i="211"/>
  <c r="AJ35" i="211"/>
  <c r="AI35" i="211"/>
  <c r="AH35" i="211"/>
  <c r="AG35" i="211"/>
  <c r="AF35" i="211"/>
  <c r="AE35" i="211"/>
  <c r="AE172" i="211" s="1"/>
  <c r="AD35" i="211"/>
  <c r="AC35" i="211"/>
  <c r="AB35" i="211"/>
  <c r="AA35" i="211"/>
  <c r="Z35" i="211"/>
  <c r="Y35" i="211"/>
  <c r="X35" i="211"/>
  <c r="W35" i="211"/>
  <c r="W152" i="211" s="1"/>
  <c r="V35" i="211"/>
  <c r="U35" i="211"/>
  <c r="T35" i="211"/>
  <c r="S35" i="211"/>
  <c r="R35" i="211"/>
  <c r="Q35" i="211"/>
  <c r="P35" i="211"/>
  <c r="O35" i="211"/>
  <c r="N35" i="211"/>
  <c r="M35" i="211"/>
  <c r="L35" i="211"/>
  <c r="K35" i="211"/>
  <c r="J35" i="211"/>
  <c r="I35" i="211"/>
  <c r="H35" i="211"/>
  <c r="G35" i="211"/>
  <c r="AP33" i="211"/>
  <c r="AO33" i="211"/>
  <c r="AN33" i="211"/>
  <c r="AK33" i="211"/>
  <c r="AJ33" i="211"/>
  <c r="AI33" i="211"/>
  <c r="AH33" i="211"/>
  <c r="AG33" i="211"/>
  <c r="AF33" i="211"/>
  <c r="AE33" i="211"/>
  <c r="AD33" i="211"/>
  <c r="AC33" i="211"/>
  <c r="AB33" i="211"/>
  <c r="AA33" i="211"/>
  <c r="Z33" i="211"/>
  <c r="Y33" i="211"/>
  <c r="X33" i="211"/>
  <c r="W33" i="211"/>
  <c r="V33" i="211"/>
  <c r="U33" i="211"/>
  <c r="T33" i="211"/>
  <c r="S33" i="211"/>
  <c r="R33" i="211"/>
  <c r="Q33" i="211"/>
  <c r="P33" i="211"/>
  <c r="O33" i="211"/>
  <c r="N33" i="211"/>
  <c r="M33" i="211"/>
  <c r="L33" i="211"/>
  <c r="K33" i="211"/>
  <c r="J33" i="211"/>
  <c r="I33" i="211"/>
  <c r="H33" i="211"/>
  <c r="G33" i="211"/>
  <c r="AP31" i="211"/>
  <c r="AO31" i="211"/>
  <c r="AN31" i="211"/>
  <c r="AK31" i="211"/>
  <c r="AJ31" i="211"/>
  <c r="AI31" i="211"/>
  <c r="AH31" i="211"/>
  <c r="AG31" i="211"/>
  <c r="AF31" i="211"/>
  <c r="AE31" i="211"/>
  <c r="AD31" i="211"/>
  <c r="AC31" i="211"/>
  <c r="AB31" i="211"/>
  <c r="AA31" i="211"/>
  <c r="Z31" i="211"/>
  <c r="Y31" i="211"/>
  <c r="X31" i="211"/>
  <c r="W31" i="211"/>
  <c r="W151" i="211" s="1"/>
  <c r="V31" i="211"/>
  <c r="U31" i="211"/>
  <c r="T31" i="211"/>
  <c r="S31" i="211"/>
  <c r="R31" i="211"/>
  <c r="Q31" i="211"/>
  <c r="P31" i="211"/>
  <c r="O31" i="211"/>
  <c r="N31" i="211"/>
  <c r="M31" i="211"/>
  <c r="AL31" i="211" s="1"/>
  <c r="L31" i="211"/>
  <c r="K31" i="211"/>
  <c r="J31" i="211"/>
  <c r="I31" i="211"/>
  <c r="H31" i="211"/>
  <c r="G31" i="211"/>
  <c r="AP29" i="211"/>
  <c r="AO29" i="211"/>
  <c r="AN29" i="211"/>
  <c r="AK29" i="211"/>
  <c r="AJ29" i="211"/>
  <c r="AI29" i="211"/>
  <c r="AH29" i="211"/>
  <c r="AG29" i="211"/>
  <c r="AF29" i="211"/>
  <c r="AE29" i="211"/>
  <c r="AD29" i="211"/>
  <c r="AC29" i="211"/>
  <c r="AB29" i="211"/>
  <c r="AA29" i="211"/>
  <c r="Z29" i="211"/>
  <c r="Y29" i="211"/>
  <c r="X29" i="211"/>
  <c r="W29" i="211"/>
  <c r="V29" i="211"/>
  <c r="U29" i="211"/>
  <c r="T29" i="211"/>
  <c r="S29" i="211"/>
  <c r="R29" i="211"/>
  <c r="Q29" i="211"/>
  <c r="P29" i="211"/>
  <c r="O29" i="211"/>
  <c r="N29" i="211"/>
  <c r="M29" i="211"/>
  <c r="L29" i="211"/>
  <c r="K29" i="211"/>
  <c r="AL29" i="211" s="1"/>
  <c r="J29" i="211"/>
  <c r="I29" i="211"/>
  <c r="H29" i="211"/>
  <c r="G29" i="211"/>
  <c r="AP27" i="211"/>
  <c r="AO27" i="211"/>
  <c r="AN27" i="211"/>
  <c r="AK27" i="211"/>
  <c r="AJ27" i="211"/>
  <c r="AI27" i="211"/>
  <c r="AH27" i="211"/>
  <c r="AG27" i="211"/>
  <c r="AF27" i="211"/>
  <c r="AE27" i="211"/>
  <c r="AD27" i="211"/>
  <c r="AC27" i="211"/>
  <c r="AB27" i="211"/>
  <c r="AA27" i="211"/>
  <c r="Z27" i="211"/>
  <c r="Y27" i="211"/>
  <c r="X27" i="211"/>
  <c r="W27" i="211"/>
  <c r="V27" i="211"/>
  <c r="U27" i="211"/>
  <c r="T27" i="211"/>
  <c r="S27" i="211"/>
  <c r="R27" i="211"/>
  <c r="Q27" i="211"/>
  <c r="P27" i="211"/>
  <c r="O27" i="211"/>
  <c r="N27" i="211"/>
  <c r="M27" i="211"/>
  <c r="L27" i="211"/>
  <c r="K27" i="211"/>
  <c r="J27" i="211"/>
  <c r="I27" i="211"/>
  <c r="H27" i="211"/>
  <c r="G27" i="211"/>
  <c r="AP25" i="211"/>
  <c r="AO25" i="211"/>
  <c r="AN25" i="211"/>
  <c r="AK25" i="211"/>
  <c r="AJ25" i="211"/>
  <c r="AI25" i="211"/>
  <c r="AH25" i="211"/>
  <c r="AG25" i="211"/>
  <c r="AF25" i="211"/>
  <c r="AE25" i="211"/>
  <c r="AD25" i="211"/>
  <c r="AC25" i="211"/>
  <c r="AB25" i="211"/>
  <c r="AA25" i="211"/>
  <c r="Z25" i="211"/>
  <c r="Y25" i="211"/>
  <c r="X25" i="211"/>
  <c r="W25" i="211"/>
  <c r="V25" i="211"/>
  <c r="U25" i="211"/>
  <c r="T25" i="211"/>
  <c r="S25" i="211"/>
  <c r="R25" i="211"/>
  <c r="Q25" i="211"/>
  <c r="P25" i="211"/>
  <c r="O25" i="211"/>
  <c r="N25" i="211"/>
  <c r="M25" i="211"/>
  <c r="L25" i="211"/>
  <c r="K25" i="211"/>
  <c r="J25" i="211"/>
  <c r="I25" i="211"/>
  <c r="H25" i="211"/>
  <c r="G25" i="211"/>
  <c r="AP23" i="211"/>
  <c r="AO23" i="211"/>
  <c r="AN23" i="211"/>
  <c r="AK23" i="211"/>
  <c r="AJ23" i="211"/>
  <c r="AI23" i="211"/>
  <c r="AH23" i="211"/>
  <c r="AG23" i="211"/>
  <c r="AF23" i="211"/>
  <c r="AE23" i="211"/>
  <c r="AD23" i="211"/>
  <c r="AC23" i="211"/>
  <c r="AB23" i="211"/>
  <c r="AA23" i="211"/>
  <c r="Z23" i="211"/>
  <c r="Y23" i="211"/>
  <c r="X23" i="211"/>
  <c r="W23" i="211"/>
  <c r="V23" i="211"/>
  <c r="U23" i="211"/>
  <c r="T23" i="211"/>
  <c r="S23" i="211"/>
  <c r="R23" i="211"/>
  <c r="Q23" i="211"/>
  <c r="P23" i="211"/>
  <c r="O23" i="211"/>
  <c r="N23" i="211"/>
  <c r="M23" i="211"/>
  <c r="L23" i="211"/>
  <c r="K23" i="211"/>
  <c r="J23" i="211"/>
  <c r="I23" i="211"/>
  <c r="H23" i="211"/>
  <c r="G23" i="211"/>
  <c r="AP21" i="211"/>
  <c r="AO21" i="211"/>
  <c r="AN21" i="211"/>
  <c r="AK21" i="211"/>
  <c r="AJ21" i="211"/>
  <c r="AI21" i="211"/>
  <c r="AH21" i="211"/>
  <c r="AH154" i="211" s="1"/>
  <c r="AG21" i="211"/>
  <c r="AF21" i="211"/>
  <c r="AE21" i="211"/>
  <c r="AD21" i="211"/>
  <c r="AC21" i="211"/>
  <c r="AB21" i="211"/>
  <c r="AA21" i="211"/>
  <c r="Z21" i="211"/>
  <c r="Y21" i="211"/>
  <c r="X21" i="211"/>
  <c r="W21" i="211"/>
  <c r="V21" i="211"/>
  <c r="U21" i="211"/>
  <c r="T21" i="211"/>
  <c r="S21" i="211"/>
  <c r="R21" i="211"/>
  <c r="Q21" i="211"/>
  <c r="P21" i="211"/>
  <c r="O21" i="211"/>
  <c r="N21" i="211"/>
  <c r="M21" i="211"/>
  <c r="L21" i="211"/>
  <c r="K21" i="211"/>
  <c r="J21" i="211"/>
  <c r="J159" i="211" s="1"/>
  <c r="I21" i="211"/>
  <c r="H21" i="211"/>
  <c r="G21" i="211"/>
  <c r="AP19" i="211"/>
  <c r="AO19" i="211"/>
  <c r="AN19" i="211"/>
  <c r="K213" i="211" s="1"/>
  <c r="AK19" i="211"/>
  <c r="AJ19" i="211"/>
  <c r="AI19" i="211"/>
  <c r="AH19" i="211"/>
  <c r="AG19" i="211"/>
  <c r="AF19" i="211"/>
  <c r="AE19" i="211"/>
  <c r="AD19" i="211"/>
  <c r="AC19" i="211"/>
  <c r="AB19" i="211"/>
  <c r="AA19" i="211"/>
  <c r="Z19" i="211"/>
  <c r="Y19" i="211"/>
  <c r="X19" i="211"/>
  <c r="W19" i="211"/>
  <c r="V19" i="211"/>
  <c r="U19" i="211"/>
  <c r="T19" i="211"/>
  <c r="S19" i="211"/>
  <c r="R19" i="211"/>
  <c r="Q19" i="211"/>
  <c r="P19" i="211"/>
  <c r="O19" i="211"/>
  <c r="N19" i="211"/>
  <c r="M19" i="211"/>
  <c r="L19" i="211"/>
  <c r="K19" i="211"/>
  <c r="J19" i="211"/>
  <c r="I19" i="211"/>
  <c r="H19" i="211"/>
  <c r="AL19" i="211" s="1"/>
  <c r="G19" i="211"/>
  <c r="AP17" i="211"/>
  <c r="AO17" i="211"/>
  <c r="AN17" i="211"/>
  <c r="AK17" i="211"/>
  <c r="AK165" i="211" s="1"/>
  <c r="AJ17" i="211"/>
  <c r="AI17" i="211"/>
  <c r="AH17" i="211"/>
  <c r="AG17" i="211"/>
  <c r="AF17" i="211"/>
  <c r="AE17" i="211"/>
  <c r="AD17" i="211"/>
  <c r="AD157" i="211" s="1"/>
  <c r="AC17" i="211"/>
  <c r="AB17" i="211"/>
  <c r="AA17" i="211"/>
  <c r="Z17" i="211"/>
  <c r="Y17" i="211"/>
  <c r="X17" i="211"/>
  <c r="W17" i="211"/>
  <c r="V17" i="211"/>
  <c r="V151" i="211" s="1"/>
  <c r="U17" i="211"/>
  <c r="U152" i="211" s="1"/>
  <c r="T17" i="211"/>
  <c r="S17" i="211"/>
  <c r="R17" i="211"/>
  <c r="Q17" i="211"/>
  <c r="P17" i="211"/>
  <c r="O17" i="211"/>
  <c r="N17" i="211"/>
  <c r="N160" i="211" s="1"/>
  <c r="M17" i="211"/>
  <c r="M156" i="211" s="1"/>
  <c r="L17" i="211"/>
  <c r="K17" i="211"/>
  <c r="J17" i="211"/>
  <c r="I17" i="211"/>
  <c r="H17" i="211"/>
  <c r="G17" i="211"/>
  <c r="AP15" i="211"/>
  <c r="AO15" i="211"/>
  <c r="AN15" i="211"/>
  <c r="AK15" i="211"/>
  <c r="AJ15" i="211"/>
  <c r="AI15" i="211"/>
  <c r="AI154" i="211" s="1"/>
  <c r="AH15" i="211"/>
  <c r="AG15" i="211"/>
  <c r="AF15" i="211"/>
  <c r="AE15" i="211"/>
  <c r="AD15" i="211"/>
  <c r="AC15" i="211"/>
  <c r="AB15" i="211"/>
  <c r="AB163" i="211" s="1"/>
  <c r="AA15" i="211"/>
  <c r="AA162" i="211" s="1"/>
  <c r="Z15" i="211"/>
  <c r="Y15" i="211"/>
  <c r="X15" i="211"/>
  <c r="W15" i="211"/>
  <c r="V15" i="211"/>
  <c r="U15" i="211"/>
  <c r="T15" i="211"/>
  <c r="T155" i="211" s="1"/>
  <c r="S15" i="211"/>
  <c r="S169" i="211" s="1"/>
  <c r="R15" i="211"/>
  <c r="Q15" i="211"/>
  <c r="P15" i="211"/>
  <c r="O15" i="211"/>
  <c r="N15" i="211"/>
  <c r="M15" i="211"/>
  <c r="L15" i="211"/>
  <c r="L154" i="211" s="1"/>
  <c r="K15" i="211"/>
  <c r="J15" i="211"/>
  <c r="I15" i="211"/>
  <c r="H15" i="211"/>
  <c r="G15" i="211"/>
  <c r="AP13" i="211"/>
  <c r="AO13" i="211"/>
  <c r="AN13" i="211"/>
  <c r="AK13" i="211"/>
  <c r="AJ13" i="211"/>
  <c r="AI13" i="211"/>
  <c r="AH13" i="211"/>
  <c r="AG13" i="211"/>
  <c r="AF13" i="211"/>
  <c r="AE13" i="211"/>
  <c r="AD13" i="211"/>
  <c r="AC13" i="211"/>
  <c r="AC154" i="211" s="1"/>
  <c r="AB13" i="211"/>
  <c r="AA13" i="211"/>
  <c r="Z13" i="211"/>
  <c r="Y13" i="211"/>
  <c r="X13" i="211"/>
  <c r="W13" i="211"/>
  <c r="V13" i="211"/>
  <c r="U13" i="211"/>
  <c r="T13" i="211"/>
  <c r="S13" i="211"/>
  <c r="R13" i="211"/>
  <c r="Q13" i="211"/>
  <c r="P13" i="211"/>
  <c r="O13" i="211"/>
  <c r="N13" i="211"/>
  <c r="M13" i="211"/>
  <c r="M165" i="211" s="1"/>
  <c r="L13" i="211"/>
  <c r="K13" i="211"/>
  <c r="J13" i="211"/>
  <c r="I13" i="211"/>
  <c r="H13" i="211"/>
  <c r="G13" i="211"/>
  <c r="AP11" i="211"/>
  <c r="AO11" i="211"/>
  <c r="AN11" i="211"/>
  <c r="AK11" i="211"/>
  <c r="AJ11" i="211"/>
  <c r="AI11" i="211"/>
  <c r="AH11" i="211"/>
  <c r="AG11" i="211"/>
  <c r="AF11" i="211"/>
  <c r="AF153" i="211" s="1"/>
  <c r="AE11" i="211"/>
  <c r="AD11" i="211"/>
  <c r="AC11" i="211"/>
  <c r="AB11" i="211"/>
  <c r="AA11" i="211"/>
  <c r="Z11" i="211"/>
  <c r="Y11" i="211"/>
  <c r="X11" i="211"/>
  <c r="W11" i="211"/>
  <c r="V11" i="211"/>
  <c r="U11" i="211"/>
  <c r="T11" i="211"/>
  <c r="S11" i="211"/>
  <c r="R11" i="211"/>
  <c r="Q11" i="211"/>
  <c r="P11" i="211"/>
  <c r="O11" i="211"/>
  <c r="N11" i="211"/>
  <c r="M11" i="211"/>
  <c r="L11" i="211"/>
  <c r="K11" i="211"/>
  <c r="J11" i="211"/>
  <c r="I11" i="211"/>
  <c r="I168" i="211" s="1"/>
  <c r="H11" i="211"/>
  <c r="G11" i="211"/>
  <c r="G9" i="211"/>
  <c r="H9" i="211" s="1"/>
  <c r="I9" i="211" s="1"/>
  <c r="J9" i="211" s="1"/>
  <c r="K9" i="211" s="1"/>
  <c r="L9" i="211" s="1"/>
  <c r="M9" i="211" s="1"/>
  <c r="N9" i="211" s="1"/>
  <c r="O9" i="211" s="1"/>
  <c r="P9" i="211" s="1"/>
  <c r="Q9" i="211" s="1"/>
  <c r="R9" i="211" s="1"/>
  <c r="S9" i="211" s="1"/>
  <c r="T9" i="211" s="1"/>
  <c r="U9" i="211" s="1"/>
  <c r="V9" i="211" s="1"/>
  <c r="W9" i="211" s="1"/>
  <c r="X9" i="211" s="1"/>
  <c r="Y9" i="211" s="1"/>
  <c r="Z9" i="211" s="1"/>
  <c r="AA9" i="211" s="1"/>
  <c r="AB9" i="211" s="1"/>
  <c r="AC9" i="211" s="1"/>
  <c r="AD9" i="211" s="1"/>
  <c r="AE9" i="211" s="1"/>
  <c r="AF9" i="211" s="1"/>
  <c r="AG9" i="211" s="1"/>
  <c r="AH9" i="211" s="1"/>
  <c r="AI9" i="211" s="1"/>
  <c r="AJ9" i="211" s="1"/>
  <c r="AK9" i="211" s="1"/>
  <c r="C5" i="211"/>
  <c r="M53" i="205"/>
  <c r="M54" i="205" s="1"/>
  <c r="P55" i="205" s="1"/>
  <c r="E51" i="205"/>
  <c r="P50" i="205"/>
  <c r="M50" i="205"/>
  <c r="E50" i="205"/>
  <c r="E49" i="205"/>
  <c r="P48" i="205"/>
  <c r="M48" i="205"/>
  <c r="E48" i="205"/>
  <c r="E47" i="205"/>
  <c r="P46" i="205"/>
  <c r="P53" i="205" s="1"/>
  <c r="P54" i="205" s="1"/>
  <c r="M46" i="205"/>
  <c r="E46" i="205"/>
  <c r="P45" i="205"/>
  <c r="M45" i="205"/>
  <c r="M40" i="205"/>
  <c r="P41" i="205" s="1"/>
  <c r="M39" i="205"/>
  <c r="E37" i="205"/>
  <c r="P36" i="205"/>
  <c r="M36" i="205"/>
  <c r="E36" i="205"/>
  <c r="E35" i="205"/>
  <c r="P34" i="205"/>
  <c r="M34" i="205"/>
  <c r="E34" i="205"/>
  <c r="E33" i="205"/>
  <c r="P32" i="205"/>
  <c r="M32" i="205"/>
  <c r="E32" i="205"/>
  <c r="E31" i="205"/>
  <c r="P30" i="205"/>
  <c r="M30" i="205"/>
  <c r="E30" i="205"/>
  <c r="E29" i="205"/>
  <c r="P28" i="205"/>
  <c r="M28" i="205"/>
  <c r="E28" i="205"/>
  <c r="E27" i="205"/>
  <c r="P26" i="205"/>
  <c r="M26" i="205"/>
  <c r="E26" i="205"/>
  <c r="E25" i="205"/>
  <c r="P24" i="205"/>
  <c r="M24" i="205"/>
  <c r="E24" i="205"/>
  <c r="E23" i="205"/>
  <c r="P22" i="205"/>
  <c r="M22" i="205"/>
  <c r="E22" i="205"/>
  <c r="E21" i="205"/>
  <c r="P20" i="205"/>
  <c r="M20" i="205"/>
  <c r="E20" i="205"/>
  <c r="E19" i="205"/>
  <c r="P18" i="205"/>
  <c r="P39" i="205" s="1"/>
  <c r="P40" i="205" s="1"/>
  <c r="M18" i="205"/>
  <c r="E18" i="205"/>
  <c r="E17" i="205"/>
  <c r="P16" i="205"/>
  <c r="M16" i="205"/>
  <c r="E16" i="205"/>
  <c r="P15" i="205"/>
  <c r="M15" i="205"/>
  <c r="J55" i="205" s="1"/>
  <c r="S36" i="172"/>
  <c r="U24" i="201"/>
  <c r="T24" i="201"/>
  <c r="U21" i="196"/>
  <c r="T21" i="196"/>
  <c r="J56" i="171"/>
  <c r="E38" i="171"/>
  <c r="I38" i="171"/>
  <c r="E36" i="171"/>
  <c r="I36" i="171"/>
  <c r="E34" i="171"/>
  <c r="I34" i="171"/>
  <c r="E32" i="171"/>
  <c r="I32" i="171" s="1"/>
  <c r="K16" i="172"/>
  <c r="K36" i="172"/>
  <c r="I9" i="171"/>
  <c r="E9" i="171"/>
  <c r="E66" i="171" s="1"/>
  <c r="I66" i="171" s="1"/>
  <c r="J26" i="171"/>
  <c r="J28" i="171"/>
  <c r="J20" i="171"/>
  <c r="E62" i="171"/>
  <c r="I62" i="171" s="1"/>
  <c r="E64" i="171"/>
  <c r="I64" i="171" s="1"/>
  <c r="E68" i="171"/>
  <c r="I68" i="171" s="1"/>
  <c r="N193" i="211" l="1"/>
  <c r="AL6" i="211" s="1"/>
  <c r="AQ39" i="211" s="1"/>
  <c r="AR39" i="211" s="1"/>
  <c r="AM39" i="211"/>
  <c r="AM29" i="211"/>
  <c r="AM55" i="211"/>
  <c r="AM95" i="211"/>
  <c r="AQ67" i="211"/>
  <c r="AR67" i="211" s="1"/>
  <c r="AM67" i="211"/>
  <c r="AM129" i="211"/>
  <c r="AQ55" i="212"/>
  <c r="AM55" i="212"/>
  <c r="AM19" i="211"/>
  <c r="AM45" i="211"/>
  <c r="AM81" i="211"/>
  <c r="AM109" i="211"/>
  <c r="AM123" i="211"/>
  <c r="AQ53" i="211"/>
  <c r="AR53" i="211" s="1"/>
  <c r="AM53" i="211"/>
  <c r="AM97" i="211"/>
  <c r="AM139" i="211"/>
  <c r="AM79" i="211"/>
  <c r="AQ89" i="212"/>
  <c r="AM89" i="212"/>
  <c r="AM31" i="211"/>
  <c r="AM103" i="211"/>
  <c r="J143" i="211"/>
  <c r="T153" i="211"/>
  <c r="T143" i="211"/>
  <c r="R158" i="211"/>
  <c r="AK143" i="211"/>
  <c r="W155" i="211"/>
  <c r="AB162" i="211"/>
  <c r="AI163" i="211"/>
  <c r="S214" i="211"/>
  <c r="V214" i="211" s="1"/>
  <c r="S219" i="211"/>
  <c r="V219" i="211" s="1"/>
  <c r="AL30" i="212"/>
  <c r="AL31" i="212"/>
  <c r="Q154" i="212"/>
  <c r="Y156" i="212"/>
  <c r="Y153" i="212"/>
  <c r="AG153" i="212"/>
  <c r="Y151" i="212"/>
  <c r="Q168" i="212"/>
  <c r="AL11" i="211"/>
  <c r="AL10" i="211"/>
  <c r="H169" i="211"/>
  <c r="H167" i="211"/>
  <c r="H157" i="211"/>
  <c r="H143" i="211"/>
  <c r="H165" i="211"/>
  <c r="H164" i="211"/>
  <c r="H159" i="211"/>
  <c r="H172" i="211"/>
  <c r="P169" i="211"/>
  <c r="P168" i="211"/>
  <c r="P167" i="211"/>
  <c r="P166" i="211"/>
  <c r="P172" i="211"/>
  <c r="P155" i="211"/>
  <c r="P154" i="211"/>
  <c r="P153" i="211"/>
  <c r="P152" i="211"/>
  <c r="P151" i="211"/>
  <c r="P164" i="211"/>
  <c r="P165" i="211"/>
  <c r="P163" i="211"/>
  <c r="P143" i="211"/>
  <c r="X143" i="211"/>
  <c r="X165" i="211"/>
  <c r="X155" i="211"/>
  <c r="X154" i="211"/>
  <c r="X153" i="211"/>
  <c r="X152" i="211"/>
  <c r="X151" i="211"/>
  <c r="X169" i="211"/>
  <c r="X167" i="211"/>
  <c r="X174" i="211"/>
  <c r="X157" i="211"/>
  <c r="X168" i="211"/>
  <c r="X170" i="211"/>
  <c r="AF143" i="211"/>
  <c r="AF169" i="211"/>
  <c r="AF167" i="211"/>
  <c r="AF170" i="211"/>
  <c r="AF166" i="211"/>
  <c r="AF159" i="211"/>
  <c r="AF157" i="211"/>
  <c r="AF172" i="211"/>
  <c r="AF168" i="211"/>
  <c r="AF151" i="211"/>
  <c r="AL36" i="211"/>
  <c r="AL37" i="211"/>
  <c r="AL87" i="211"/>
  <c r="AL86" i="211"/>
  <c r="AL89" i="211"/>
  <c r="AL88" i="211"/>
  <c r="AL141" i="211"/>
  <c r="AL140" i="211"/>
  <c r="V159" i="211"/>
  <c r="H166" i="211"/>
  <c r="AG175" i="211"/>
  <c r="Y175" i="211"/>
  <c r="Q175" i="211"/>
  <c r="I175" i="211"/>
  <c r="AD175" i="211"/>
  <c r="U175" i="211"/>
  <c r="L175" i="211"/>
  <c r="AC175" i="211"/>
  <c r="T175" i="211"/>
  <c r="K175" i="211"/>
  <c r="AI175" i="211"/>
  <c r="W175" i="211"/>
  <c r="J175" i="211"/>
  <c r="AH175" i="211"/>
  <c r="V175" i="211"/>
  <c r="H175" i="211"/>
  <c r="AF175" i="211"/>
  <c r="S175" i="211"/>
  <c r="G175" i="211"/>
  <c r="R175" i="211"/>
  <c r="AJ175" i="211"/>
  <c r="N175" i="211"/>
  <c r="AB175" i="211"/>
  <c r="M175" i="211"/>
  <c r="AK175" i="211"/>
  <c r="P175" i="211"/>
  <c r="O175" i="211"/>
  <c r="AE175" i="211"/>
  <c r="AA175" i="211"/>
  <c r="Z175" i="211"/>
  <c r="X175" i="211"/>
  <c r="K206" i="211"/>
  <c r="S216" i="211"/>
  <c r="V216" i="211" s="1"/>
  <c r="AL59" i="212"/>
  <c r="AL58" i="212"/>
  <c r="AL117" i="212"/>
  <c r="AL116" i="212"/>
  <c r="I157" i="211"/>
  <c r="I143" i="211"/>
  <c r="I164" i="211"/>
  <c r="I159" i="211"/>
  <c r="I172" i="211"/>
  <c r="I170" i="211"/>
  <c r="Q170" i="211"/>
  <c r="Q172" i="211"/>
  <c r="Q157" i="211"/>
  <c r="Q143" i="211"/>
  <c r="Q174" i="211"/>
  <c r="Y157" i="211"/>
  <c r="Y153" i="211"/>
  <c r="Y151" i="211"/>
  <c r="Y159" i="211"/>
  <c r="Y155" i="211"/>
  <c r="Y170" i="211"/>
  <c r="Y143" i="211"/>
  <c r="Y168" i="211"/>
  <c r="AG159" i="211"/>
  <c r="AG172" i="211"/>
  <c r="AG157" i="211"/>
  <c r="AG143" i="211"/>
  <c r="AG170" i="211"/>
  <c r="AG168" i="211"/>
  <c r="AG166" i="211"/>
  <c r="AG164" i="211"/>
  <c r="AG151" i="211"/>
  <c r="AG155" i="211"/>
  <c r="AG153" i="211"/>
  <c r="N169" i="211"/>
  <c r="V168" i="211"/>
  <c r="AD155" i="211"/>
  <c r="AL15" i="211"/>
  <c r="AL14" i="211"/>
  <c r="AL16" i="211"/>
  <c r="V169" i="211"/>
  <c r="AL17" i="211"/>
  <c r="AL49" i="211"/>
  <c r="AL48" i="211"/>
  <c r="AL69" i="211"/>
  <c r="AL68" i="211"/>
  <c r="AL83" i="211"/>
  <c r="AL82" i="211"/>
  <c r="AL94" i="211"/>
  <c r="W159" i="211"/>
  <c r="I166" i="211"/>
  <c r="V167" i="211"/>
  <c r="Z172" i="211"/>
  <c r="AK153" i="212"/>
  <c r="AK159" i="212"/>
  <c r="AQ103" i="212"/>
  <c r="AR103" i="212" s="1"/>
  <c r="AM103" i="212"/>
  <c r="O175" i="212"/>
  <c r="R157" i="211"/>
  <c r="Z169" i="211"/>
  <c r="AH165" i="211"/>
  <c r="L162" i="211"/>
  <c r="AJ167" i="211"/>
  <c r="AL33" i="211"/>
  <c r="AL32" i="211"/>
  <c r="AL44" i="211"/>
  <c r="AL75" i="211"/>
  <c r="AL74" i="211"/>
  <c r="AL85" i="211"/>
  <c r="AL84" i="211"/>
  <c r="AL131" i="211"/>
  <c r="AL130" i="211"/>
  <c r="AL133" i="211"/>
  <c r="AL132" i="211"/>
  <c r="K143" i="211"/>
  <c r="J151" i="211"/>
  <c r="G152" i="211"/>
  <c r="K153" i="211"/>
  <c r="G154" i="211"/>
  <c r="J157" i="211"/>
  <c r="AD158" i="211"/>
  <c r="X159" i="211"/>
  <c r="X164" i="211"/>
  <c r="AI165" i="211"/>
  <c r="L166" i="211"/>
  <c r="AH167" i="211"/>
  <c r="AA172" i="211"/>
  <c r="AM17" i="212"/>
  <c r="AQ17" i="212"/>
  <c r="AL54" i="212"/>
  <c r="AM63" i="212"/>
  <c r="AQ63" i="212"/>
  <c r="AR63" i="212" s="1"/>
  <c r="AL71" i="212"/>
  <c r="AL70" i="212"/>
  <c r="X160" i="212"/>
  <c r="S159" i="211"/>
  <c r="AI168" i="211"/>
  <c r="U154" i="211"/>
  <c r="AL35" i="211"/>
  <c r="AL34" i="211"/>
  <c r="AL111" i="211"/>
  <c r="AL110" i="211"/>
  <c r="AL121" i="211"/>
  <c r="AL120" i="211"/>
  <c r="Z143" i="211"/>
  <c r="K151" i="211"/>
  <c r="K152" i="211"/>
  <c r="K154" i="211"/>
  <c r="K155" i="211"/>
  <c r="L156" i="211"/>
  <c r="AA157" i="211"/>
  <c r="AI158" i="211"/>
  <c r="AH159" i="211"/>
  <c r="Q163" i="211"/>
  <c r="Y164" i="211"/>
  <c r="AJ165" i="211"/>
  <c r="X166" i="211"/>
  <c r="AG171" i="211"/>
  <c r="Y171" i="211"/>
  <c r="Q171" i="211"/>
  <c r="I171" i="211"/>
  <c r="AD171" i="211"/>
  <c r="U171" i="211"/>
  <c r="L171" i="211"/>
  <c r="AC171" i="211"/>
  <c r="T171" i="211"/>
  <c r="K171" i="211"/>
  <c r="AA171" i="211"/>
  <c r="O171" i="211"/>
  <c r="AK171" i="211"/>
  <c r="Z171" i="211"/>
  <c r="N171" i="211"/>
  <c r="AF171" i="211"/>
  <c r="P171" i="211"/>
  <c r="AB171" i="211"/>
  <c r="H171" i="211"/>
  <c r="W171" i="211"/>
  <c r="AE171" i="211"/>
  <c r="M171" i="211"/>
  <c r="J171" i="211"/>
  <c r="X171" i="211"/>
  <c r="G171" i="211"/>
  <c r="AH171" i="211"/>
  <c r="V171" i="211"/>
  <c r="S171" i="211"/>
  <c r="R171" i="211"/>
  <c r="L174" i="212"/>
  <c r="L155" i="212"/>
  <c r="L153" i="212"/>
  <c r="L151" i="212"/>
  <c r="L172" i="212"/>
  <c r="L161" i="212"/>
  <c r="L163" i="212"/>
  <c r="L158" i="212"/>
  <c r="L156" i="212"/>
  <c r="L167" i="212"/>
  <c r="L143" i="212"/>
  <c r="L157" i="212"/>
  <c r="L165" i="212"/>
  <c r="T167" i="212"/>
  <c r="T158" i="212"/>
  <c r="T156" i="212"/>
  <c r="T163" i="212"/>
  <c r="T155" i="212"/>
  <c r="T153" i="212"/>
  <c r="T151" i="212"/>
  <c r="T172" i="212"/>
  <c r="T161" i="212"/>
  <c r="T165" i="212"/>
  <c r="T162" i="212"/>
  <c r="T154" i="212"/>
  <c r="T152" i="212"/>
  <c r="AB167" i="212"/>
  <c r="AB158" i="212"/>
  <c r="AB151" i="212"/>
  <c r="AB165" i="212"/>
  <c r="AB153" i="212"/>
  <c r="AB152" i="212"/>
  <c r="AB155" i="212"/>
  <c r="AB164" i="212"/>
  <c r="AB163" i="212"/>
  <c r="AB174" i="212"/>
  <c r="AB159" i="212"/>
  <c r="AJ174" i="212"/>
  <c r="AJ165" i="212"/>
  <c r="AJ163" i="212"/>
  <c r="AJ161" i="212"/>
  <c r="AJ158" i="212"/>
  <c r="AJ153" i="212"/>
  <c r="AJ168" i="212"/>
  <c r="AJ151" i="212"/>
  <c r="AJ154" i="212"/>
  <c r="AJ152" i="212"/>
  <c r="AJ157" i="212"/>
  <c r="M173" i="212"/>
  <c r="AK151" i="212"/>
  <c r="AD168" i="212"/>
  <c r="AL51" i="212"/>
  <c r="AJ168" i="211"/>
  <c r="AL13" i="211"/>
  <c r="AL12" i="211"/>
  <c r="N157" i="211"/>
  <c r="V162" i="211"/>
  <c r="AD160" i="211"/>
  <c r="AL27" i="211"/>
  <c r="AL26" i="211"/>
  <c r="AL30" i="211"/>
  <c r="AA143" i="211"/>
  <c r="T151" i="211"/>
  <c r="V153" i="211"/>
  <c r="AJ158" i="211"/>
  <c r="AK161" i="211"/>
  <c r="AC161" i="211"/>
  <c r="U161" i="211"/>
  <c r="M161" i="211"/>
  <c r="AJ161" i="211"/>
  <c r="AB161" i="211"/>
  <c r="T161" i="211"/>
  <c r="L161" i="211"/>
  <c r="AD161" i="211"/>
  <c r="R161" i="211"/>
  <c r="H161" i="211"/>
  <c r="AA161" i="211"/>
  <c r="Q161" i="211"/>
  <c r="G161" i="211"/>
  <c r="AF161" i="211"/>
  <c r="P161" i="211"/>
  <c r="Y161" i="211"/>
  <c r="AE161" i="211"/>
  <c r="O161" i="211"/>
  <c r="Z161" i="211"/>
  <c r="N161" i="211"/>
  <c r="K161" i="211"/>
  <c r="X161" i="211"/>
  <c r="J161" i="211"/>
  <c r="AH161" i="211"/>
  <c r="AG161" i="211"/>
  <c r="W161" i="211"/>
  <c r="Y166" i="211"/>
  <c r="AI171" i="211"/>
  <c r="E4" i="211"/>
  <c r="M165" i="212"/>
  <c r="AC165" i="212"/>
  <c r="AK174" i="212"/>
  <c r="AG154" i="212"/>
  <c r="AL37" i="212"/>
  <c r="AL36" i="212"/>
  <c r="AQ99" i="212"/>
  <c r="AR99" i="212" s="1"/>
  <c r="AM99" i="212"/>
  <c r="AL115" i="212"/>
  <c r="AL114" i="212"/>
  <c r="J155" i="211"/>
  <c r="Z168" i="211"/>
  <c r="AH151" i="211"/>
  <c r="AL61" i="211"/>
  <c r="AL60" i="211"/>
  <c r="AL65" i="211"/>
  <c r="AL64" i="211"/>
  <c r="AL66" i="211"/>
  <c r="AL77" i="211"/>
  <c r="AL76" i="211"/>
  <c r="AL117" i="211"/>
  <c r="AL116" i="211"/>
  <c r="AJ143" i="211"/>
  <c r="AF152" i="211"/>
  <c r="W153" i="211"/>
  <c r="AF154" i="211"/>
  <c r="V155" i="211"/>
  <c r="W156" i="211"/>
  <c r="Z160" i="211"/>
  <c r="I161" i="211"/>
  <c r="H168" i="211"/>
  <c r="AJ171" i="211"/>
  <c r="Y174" i="211"/>
  <c r="P154" i="212"/>
  <c r="AQ137" i="212"/>
  <c r="AM137" i="212"/>
  <c r="N143" i="212"/>
  <c r="K200" i="211"/>
  <c r="K162" i="211"/>
  <c r="AI169" i="211"/>
  <c r="AL18" i="211"/>
  <c r="AH155" i="211"/>
  <c r="AH153" i="211"/>
  <c r="AL101" i="211"/>
  <c r="AL100" i="211"/>
  <c r="AH152" i="211"/>
  <c r="S161" i="211"/>
  <c r="L170" i="211"/>
  <c r="AJ169" i="211"/>
  <c r="G155" i="211"/>
  <c r="G153" i="211"/>
  <c r="O163" i="211"/>
  <c r="AL28" i="211"/>
  <c r="AL78" i="211"/>
  <c r="AL107" i="211"/>
  <c r="AL106" i="211"/>
  <c r="AM115" i="211"/>
  <c r="AI152" i="211"/>
  <c r="AF155" i="211"/>
  <c r="O160" i="211"/>
  <c r="V161" i="211"/>
  <c r="O167" i="211"/>
  <c r="L168" i="211"/>
  <c r="H170" i="211"/>
  <c r="V173" i="211"/>
  <c r="AQ19" i="212"/>
  <c r="AR19" i="212" s="1"/>
  <c r="AM19" i="212"/>
  <c r="J155" i="212"/>
  <c r="J175" i="212"/>
  <c r="AQ35" i="212"/>
  <c r="AR35" i="212" s="1"/>
  <c r="AM35" i="212"/>
  <c r="AQ133" i="212"/>
  <c r="AR133" i="212" s="1"/>
  <c r="AM133" i="212"/>
  <c r="I155" i="212"/>
  <c r="AB161" i="212"/>
  <c r="AR17" i="212"/>
  <c r="K201" i="212" s="1"/>
  <c r="AL69" i="212"/>
  <c r="AL68" i="212"/>
  <c r="AA157" i="212"/>
  <c r="M169" i="211"/>
  <c r="M154" i="211"/>
  <c r="M152" i="211"/>
  <c r="AC162" i="211"/>
  <c r="AK169" i="211"/>
  <c r="AK167" i="211"/>
  <c r="G169" i="211"/>
  <c r="G167" i="211"/>
  <c r="O162" i="211"/>
  <c r="W167" i="211"/>
  <c r="W169" i="211"/>
  <c r="AE157" i="211"/>
  <c r="AE160" i="211"/>
  <c r="AL23" i="211"/>
  <c r="AL22" i="211"/>
  <c r="AL25" i="211"/>
  <c r="AL24" i="211"/>
  <c r="AL41" i="211"/>
  <c r="AL40" i="211"/>
  <c r="AL63" i="211"/>
  <c r="AL62" i="211"/>
  <c r="AL71" i="211"/>
  <c r="AL70" i="211"/>
  <c r="AL91" i="211"/>
  <c r="AL90" i="211"/>
  <c r="AL93" i="211"/>
  <c r="O143" i="211"/>
  <c r="L152" i="211"/>
  <c r="Z156" i="211"/>
  <c r="K157" i="211"/>
  <c r="AG158" i="211"/>
  <c r="Y158" i="211"/>
  <c r="Q158" i="211"/>
  <c r="I158" i="211"/>
  <c r="AF158" i="211"/>
  <c r="X158" i="211"/>
  <c r="P158" i="211"/>
  <c r="H158" i="211"/>
  <c r="AH158" i="211"/>
  <c r="V158" i="211"/>
  <c r="L158" i="211"/>
  <c r="AE158" i="211"/>
  <c r="U158" i="211"/>
  <c r="K158" i="211"/>
  <c r="AC158" i="211"/>
  <c r="O158" i="211"/>
  <c r="AK158" i="211"/>
  <c r="W158" i="211"/>
  <c r="G158" i="211"/>
  <c r="AL158" i="211" s="1"/>
  <c r="AN158" i="211" s="1"/>
  <c r="AB158" i="211"/>
  <c r="N158" i="211"/>
  <c r="AA158" i="211"/>
  <c r="M158" i="211"/>
  <c r="Z158" i="211"/>
  <c r="J158" i="211"/>
  <c r="AI159" i="211"/>
  <c r="AC160" i="211"/>
  <c r="Z163" i="211"/>
  <c r="Z166" i="211"/>
  <c r="AI167" i="211"/>
  <c r="AH169" i="211"/>
  <c r="AG173" i="211"/>
  <c r="Y173" i="211"/>
  <c r="Q173" i="211"/>
  <c r="I173" i="211"/>
  <c r="AD173" i="211"/>
  <c r="U173" i="211"/>
  <c r="L173" i="211"/>
  <c r="AC173" i="211"/>
  <c r="T173" i="211"/>
  <c r="K173" i="211"/>
  <c r="AJ173" i="211"/>
  <c r="X173" i="211"/>
  <c r="M173" i="211"/>
  <c r="AI173" i="211"/>
  <c r="W173" i="211"/>
  <c r="J173" i="211"/>
  <c r="AH173" i="211"/>
  <c r="AK173" i="211"/>
  <c r="R173" i="211"/>
  <c r="AE173" i="211"/>
  <c r="AA173" i="211"/>
  <c r="H173" i="211"/>
  <c r="AF173" i="211"/>
  <c r="P173" i="211"/>
  <c r="O173" i="211"/>
  <c r="AB173" i="211"/>
  <c r="N173" i="211"/>
  <c r="AI174" i="211"/>
  <c r="AL18" i="212"/>
  <c r="AD143" i="212"/>
  <c r="K173" i="212"/>
  <c r="S162" i="212"/>
  <c r="AI168" i="212"/>
  <c r="AL45" i="212"/>
  <c r="AL44" i="212"/>
  <c r="AL81" i="212"/>
  <c r="AL80" i="212"/>
  <c r="S160" i="211"/>
  <c r="G173" i="211"/>
  <c r="I151" i="212"/>
  <c r="G155" i="212"/>
  <c r="G151" i="212"/>
  <c r="O158" i="212"/>
  <c r="O156" i="212"/>
  <c r="O154" i="212"/>
  <c r="O153" i="212"/>
  <c r="O157" i="212"/>
  <c r="O173" i="212"/>
  <c r="O155" i="212"/>
  <c r="O174" i="212"/>
  <c r="O163" i="212"/>
  <c r="W157" i="212"/>
  <c r="W158" i="212"/>
  <c r="W156" i="212"/>
  <c r="AE163" i="212"/>
  <c r="AE164" i="212"/>
  <c r="AE172" i="212"/>
  <c r="AE175" i="212"/>
  <c r="K219" i="212"/>
  <c r="AL33" i="212"/>
  <c r="AL32" i="212"/>
  <c r="AL34" i="212"/>
  <c r="AQ73" i="212"/>
  <c r="AM73" i="212"/>
  <c r="AL121" i="212"/>
  <c r="AL120" i="212"/>
  <c r="AE167" i="212"/>
  <c r="S221" i="211"/>
  <c r="V221" i="211" s="1"/>
  <c r="I219" i="211"/>
  <c r="S217" i="211"/>
  <c r="V217" i="211" s="1"/>
  <c r="I215" i="211"/>
  <c r="M215" i="211" s="1"/>
  <c r="P215" i="211" s="1"/>
  <c r="S213" i="211"/>
  <c r="V213" i="211" s="1"/>
  <c r="I211" i="211"/>
  <c r="S209" i="211"/>
  <c r="V209" i="211" s="1"/>
  <c r="I207" i="211"/>
  <c r="S205" i="211"/>
  <c r="V205" i="211" s="1"/>
  <c r="I203" i="211"/>
  <c r="S201" i="211"/>
  <c r="V201" i="211" s="1"/>
  <c r="I199" i="211"/>
  <c r="S197" i="211"/>
  <c r="V197" i="211" s="1"/>
  <c r="K218" i="211"/>
  <c r="K214" i="211"/>
  <c r="K215" i="211"/>
  <c r="I214" i="211"/>
  <c r="I213" i="211"/>
  <c r="M213" i="211" s="1"/>
  <c r="P213" i="211" s="1"/>
  <c r="K212" i="211"/>
  <c r="S210" i="211"/>
  <c r="V210" i="211" s="1"/>
  <c r="I206" i="211"/>
  <c r="K205" i="211"/>
  <c r="I200" i="211"/>
  <c r="S220" i="211"/>
  <c r="V220" i="211" s="1"/>
  <c r="I212" i="211"/>
  <c r="I205" i="211"/>
  <c r="S203" i="211"/>
  <c r="V203" i="211" s="1"/>
  <c r="K199" i="211"/>
  <c r="K198" i="211"/>
  <c r="I216" i="211"/>
  <c r="K197" i="211"/>
  <c r="S204" i="211"/>
  <c r="V204" i="211" s="1"/>
  <c r="S200" i="211"/>
  <c r="V200" i="211" s="1"/>
  <c r="S198" i="211"/>
  <c r="V198" i="211" s="1"/>
  <c r="I209" i="211"/>
  <c r="K204" i="211"/>
  <c r="I202" i="211"/>
  <c r="I198" i="211"/>
  <c r="K209" i="211"/>
  <c r="S207" i="211"/>
  <c r="V207" i="211" s="1"/>
  <c r="K202" i="211"/>
  <c r="I197" i="211"/>
  <c r="K208" i="211"/>
  <c r="S206" i="211"/>
  <c r="V206" i="211" s="1"/>
  <c r="K203" i="211"/>
  <c r="S199" i="211"/>
  <c r="V199" i="211" s="1"/>
  <c r="K210" i="211"/>
  <c r="K201" i="211"/>
  <c r="K221" i="211"/>
  <c r="K220" i="211"/>
  <c r="S218" i="211"/>
  <c r="V218" i="211" s="1"/>
  <c r="S215" i="211"/>
  <c r="V215" i="211" s="1"/>
  <c r="I201" i="211"/>
  <c r="I218" i="211"/>
  <c r="M218" i="211" s="1"/>
  <c r="P218" i="211" s="1"/>
  <c r="K216" i="211"/>
  <c r="S208" i="211"/>
  <c r="V208" i="211" s="1"/>
  <c r="I208" i="211"/>
  <c r="S212" i="211"/>
  <c r="V212" i="211" s="1"/>
  <c r="I221" i="211"/>
  <c r="I220" i="211"/>
  <c r="M220" i="211" s="1"/>
  <c r="P220" i="211" s="1"/>
  <c r="K217" i="211"/>
  <c r="I210" i="211"/>
  <c r="K207" i="211"/>
  <c r="I204" i="211"/>
  <c r="K219" i="211"/>
  <c r="I217" i="211"/>
  <c r="S202" i="211"/>
  <c r="V202" i="211" s="1"/>
  <c r="S211" i="211"/>
  <c r="V211" i="211" s="1"/>
  <c r="K211" i="211"/>
  <c r="K159" i="211"/>
  <c r="AA164" i="211"/>
  <c r="N159" i="211"/>
  <c r="N155" i="211"/>
  <c r="N152" i="211"/>
  <c r="N168" i="211"/>
  <c r="N154" i="211"/>
  <c r="N153" i="211"/>
  <c r="N151" i="211"/>
  <c r="N170" i="211"/>
  <c r="N166" i="211"/>
  <c r="N164" i="211"/>
  <c r="N156" i="211"/>
  <c r="AD162" i="211"/>
  <c r="AD159" i="211"/>
  <c r="AL99" i="211"/>
  <c r="AL98" i="211"/>
  <c r="AL125" i="211"/>
  <c r="AL124" i="211"/>
  <c r="V154" i="211"/>
  <c r="AA156" i="211"/>
  <c r="W143" i="211"/>
  <c r="L155" i="211"/>
  <c r="L153" i="211"/>
  <c r="L151" i="211"/>
  <c r="AB155" i="211"/>
  <c r="AB153" i="211"/>
  <c r="AB151" i="211"/>
  <c r="AB156" i="211"/>
  <c r="AB143" i="211"/>
  <c r="G168" i="211"/>
  <c r="O165" i="211"/>
  <c r="W168" i="211"/>
  <c r="AE162" i="211"/>
  <c r="AL21" i="211"/>
  <c r="AL20" i="211"/>
  <c r="AL47" i="211"/>
  <c r="AL46" i="211"/>
  <c r="AL50" i="211"/>
  <c r="AL51" i="211"/>
  <c r="AL105" i="211"/>
  <c r="AL104" i="211"/>
  <c r="AL118" i="211"/>
  <c r="AL119" i="211"/>
  <c r="AL135" i="211"/>
  <c r="AL134" i="211"/>
  <c r="AL137" i="211"/>
  <c r="AL136" i="211"/>
  <c r="G151" i="211"/>
  <c r="V152" i="211"/>
  <c r="J153" i="211"/>
  <c r="W154" i="211"/>
  <c r="AK156" i="211"/>
  <c r="S158" i="211"/>
  <c r="O172" i="211"/>
  <c r="S173" i="211"/>
  <c r="AL13" i="212"/>
  <c r="AL12" i="212"/>
  <c r="H155" i="212"/>
  <c r="H152" i="212"/>
  <c r="H169" i="212"/>
  <c r="H151" i="212"/>
  <c r="P157" i="212"/>
  <c r="P156" i="212"/>
  <c r="P158" i="212"/>
  <c r="P153" i="212"/>
  <c r="X165" i="212"/>
  <c r="X143" i="212"/>
  <c r="X157" i="212"/>
  <c r="X171" i="212"/>
  <c r="X156" i="212"/>
  <c r="X161" i="212"/>
  <c r="X152" i="212"/>
  <c r="AF167" i="212"/>
  <c r="AF162" i="212"/>
  <c r="AL41" i="212"/>
  <c r="AL40" i="212"/>
  <c r="AQ49" i="212"/>
  <c r="AM49" i="212"/>
  <c r="AQ127" i="212"/>
  <c r="AR127" i="212" s="1"/>
  <c r="AQ131" i="212"/>
  <c r="AR131" i="212" s="1"/>
  <c r="AM131" i="212"/>
  <c r="G152" i="212"/>
  <c r="AH166" i="212"/>
  <c r="Z166" i="212"/>
  <c r="R166" i="212"/>
  <c r="J166" i="212"/>
  <c r="AJ166" i="212"/>
  <c r="AA166" i="212"/>
  <c r="Q166" i="212"/>
  <c r="H166" i="212"/>
  <c r="AI166" i="212"/>
  <c r="Y166" i="212"/>
  <c r="P166" i="212"/>
  <c r="G166" i="212"/>
  <c r="AK166" i="212"/>
  <c r="W166" i="212"/>
  <c r="L166" i="212"/>
  <c r="AG166" i="212"/>
  <c r="V166" i="212"/>
  <c r="K166" i="212"/>
  <c r="AF166" i="212"/>
  <c r="U166" i="212"/>
  <c r="I166" i="212"/>
  <c r="S166" i="212"/>
  <c r="O166" i="212"/>
  <c r="AE166" i="212"/>
  <c r="N166" i="212"/>
  <c r="AC166" i="212"/>
  <c r="AB166" i="212"/>
  <c r="X166" i="212"/>
  <c r="AD166" i="212"/>
  <c r="T166" i="212"/>
  <c r="K175" i="212"/>
  <c r="AL15" i="212"/>
  <c r="AL14" i="212"/>
  <c r="AR89" i="212"/>
  <c r="AD151" i="212"/>
  <c r="I165" i="212"/>
  <c r="AL59" i="211"/>
  <c r="AL58" i="211"/>
  <c r="AL73" i="211"/>
  <c r="AL72" i="211"/>
  <c r="G143" i="211"/>
  <c r="AC143" i="211"/>
  <c r="Z152" i="211"/>
  <c r="AC156" i="211"/>
  <c r="T160" i="211"/>
  <c r="R162" i="211"/>
  <c r="G163" i="211"/>
  <c r="AK163" i="211"/>
  <c r="Z165" i="211"/>
  <c r="AA174" i="211"/>
  <c r="AL96" i="212"/>
  <c r="AL97" i="212"/>
  <c r="AL113" i="212"/>
  <c r="AL112" i="212"/>
  <c r="AL132" i="212"/>
  <c r="AD159" i="212"/>
  <c r="AI159" i="212"/>
  <c r="Z159" i="212"/>
  <c r="R159" i="212"/>
  <c r="J159" i="212"/>
  <c r="AH159" i="212"/>
  <c r="Y159" i="212"/>
  <c r="Q159" i="212"/>
  <c r="I159" i="212"/>
  <c r="AJ159" i="212"/>
  <c r="W159" i="212"/>
  <c r="M159" i="212"/>
  <c r="AG159" i="212"/>
  <c r="V159" i="212"/>
  <c r="L159" i="212"/>
  <c r="AA159" i="212"/>
  <c r="K159" i="212"/>
  <c r="X159" i="212"/>
  <c r="H159" i="212"/>
  <c r="U159" i="212"/>
  <c r="G159" i="212"/>
  <c r="S159" i="212"/>
  <c r="P159" i="212"/>
  <c r="AF159" i="212"/>
  <c r="AC159" i="212"/>
  <c r="AE159" i="212"/>
  <c r="M164" i="212"/>
  <c r="G170" i="212"/>
  <c r="AA168" i="211"/>
  <c r="AA166" i="211"/>
  <c r="O151" i="211"/>
  <c r="O152" i="211"/>
  <c r="O153" i="211"/>
  <c r="O154" i="211"/>
  <c r="O155" i="211"/>
  <c r="R156" i="211"/>
  <c r="G157" i="211"/>
  <c r="AE159" i="211"/>
  <c r="G160" i="211"/>
  <c r="U160" i="211"/>
  <c r="AK160" i="211"/>
  <c r="S162" i="211"/>
  <c r="R166" i="211"/>
  <c r="J167" i="211"/>
  <c r="R168" i="211"/>
  <c r="J169" i="211"/>
  <c r="R170" i="211"/>
  <c r="R172" i="211"/>
  <c r="N174" i="211"/>
  <c r="Q169" i="212"/>
  <c r="Q167" i="212"/>
  <c r="Q165" i="212"/>
  <c r="Q163" i="212"/>
  <c r="Q161" i="212"/>
  <c r="Q171" i="212"/>
  <c r="Q173" i="212"/>
  <c r="Q175" i="212"/>
  <c r="Q172" i="212"/>
  <c r="Q158" i="212"/>
  <c r="Q155" i="212"/>
  <c r="Q152" i="212"/>
  <c r="Q151" i="212"/>
  <c r="Y167" i="212"/>
  <c r="Y165" i="212"/>
  <c r="Y163" i="212"/>
  <c r="Y161" i="212"/>
  <c r="Y175" i="212"/>
  <c r="Y169" i="212"/>
  <c r="Y173" i="212"/>
  <c r="Y171" i="212"/>
  <c r="Y157" i="212"/>
  <c r="Y155" i="212"/>
  <c r="AG173" i="212"/>
  <c r="AG175" i="212"/>
  <c r="AG171" i="212"/>
  <c r="AG165" i="212"/>
  <c r="AG163" i="212"/>
  <c r="AG161" i="212"/>
  <c r="AG169" i="212"/>
  <c r="AG167" i="212"/>
  <c r="AG158" i="212"/>
  <c r="AG155" i="212"/>
  <c r="AG152" i="212"/>
  <c r="AG172" i="212"/>
  <c r="M169" i="212"/>
  <c r="M163" i="212"/>
  <c r="M158" i="212"/>
  <c r="M156" i="212"/>
  <c r="M167" i="212"/>
  <c r="M157" i="212"/>
  <c r="AC158" i="212"/>
  <c r="AC156" i="212"/>
  <c r="AC152" i="212"/>
  <c r="AC174" i="212"/>
  <c r="AD174" i="212"/>
  <c r="AL48" i="212"/>
  <c r="AL62" i="212"/>
  <c r="AL105" i="212"/>
  <c r="AL104" i="212"/>
  <c r="R155" i="212"/>
  <c r="N159" i="212"/>
  <c r="I160" i="212"/>
  <c r="S165" i="212"/>
  <c r="I218" i="212"/>
  <c r="M218" i="212" s="1"/>
  <c r="P218" i="212" s="1"/>
  <c r="L143" i="211"/>
  <c r="AB169" i="211"/>
  <c r="AB167" i="211"/>
  <c r="O157" i="211"/>
  <c r="AE143" i="211"/>
  <c r="AL43" i="211"/>
  <c r="AL42" i="211"/>
  <c r="AL57" i="211"/>
  <c r="AL56" i="211"/>
  <c r="AH143" i="211"/>
  <c r="AD151" i="211"/>
  <c r="AD152" i="211"/>
  <c r="AD153" i="211"/>
  <c r="AD154" i="211"/>
  <c r="S156" i="211"/>
  <c r="AI156" i="211"/>
  <c r="V157" i="211"/>
  <c r="AH157" i="211"/>
  <c r="R159" i="211"/>
  <c r="J160" i="211"/>
  <c r="AG162" i="211"/>
  <c r="Y162" i="211"/>
  <c r="Q162" i="211"/>
  <c r="I162" i="211"/>
  <c r="AF162" i="211"/>
  <c r="X162" i="211"/>
  <c r="P162" i="211"/>
  <c r="H162" i="211"/>
  <c r="AJ162" i="211"/>
  <c r="Z162" i="211"/>
  <c r="N162" i="211"/>
  <c r="AI162" i="211"/>
  <c r="W162" i="211"/>
  <c r="M162" i="211"/>
  <c r="T162" i="211"/>
  <c r="AH162" i="211"/>
  <c r="K163" i="211"/>
  <c r="V164" i="211"/>
  <c r="AI164" i="211"/>
  <c r="N165" i="211"/>
  <c r="AB165" i="211"/>
  <c r="V166" i="211"/>
  <c r="AI166" i="211"/>
  <c r="M167" i="211"/>
  <c r="AA167" i="211"/>
  <c r="AA169" i="211"/>
  <c r="AK170" i="211"/>
  <c r="AC170" i="211"/>
  <c r="U170" i="211"/>
  <c r="M170" i="211"/>
  <c r="AD170" i="211"/>
  <c r="T170" i="211"/>
  <c r="K170" i="211"/>
  <c r="AB170" i="211"/>
  <c r="S170" i="211"/>
  <c r="J170" i="211"/>
  <c r="AA170" i="211"/>
  <c r="P170" i="211"/>
  <c r="Z170" i="211"/>
  <c r="O170" i="211"/>
  <c r="V170" i="211"/>
  <c r="AI170" i="211"/>
  <c r="AK172" i="211"/>
  <c r="AC172" i="211"/>
  <c r="U172" i="211"/>
  <c r="M172" i="211"/>
  <c r="AD172" i="211"/>
  <c r="T172" i="211"/>
  <c r="K172" i="211"/>
  <c r="AB172" i="211"/>
  <c r="S172" i="211"/>
  <c r="J172" i="211"/>
  <c r="AJ172" i="211"/>
  <c r="Y172" i="211"/>
  <c r="N172" i="211"/>
  <c r="AI172" i="211"/>
  <c r="X172" i="211"/>
  <c r="L172" i="211"/>
  <c r="V172" i="211"/>
  <c r="O174" i="211"/>
  <c r="J173" i="212"/>
  <c r="J158" i="212"/>
  <c r="J167" i="212"/>
  <c r="J165" i="212"/>
  <c r="J163" i="212"/>
  <c r="J161" i="212"/>
  <c r="J171" i="212"/>
  <c r="J169" i="212"/>
  <c r="J153" i="212"/>
  <c r="J151" i="212"/>
  <c r="R169" i="212"/>
  <c r="R171" i="212"/>
  <c r="R175" i="212"/>
  <c r="R173" i="212"/>
  <c r="R158" i="212"/>
  <c r="R165" i="212"/>
  <c r="R161" i="212"/>
  <c r="R167" i="212"/>
  <c r="R151" i="212"/>
  <c r="Z167" i="212"/>
  <c r="Z165" i="212"/>
  <c r="Z163" i="212"/>
  <c r="Z161" i="212"/>
  <c r="Z169" i="212"/>
  <c r="Z175" i="212"/>
  <c r="Z171" i="212"/>
  <c r="Z173" i="212"/>
  <c r="Z155" i="212"/>
  <c r="Z153" i="212"/>
  <c r="AH175" i="212"/>
  <c r="AH165" i="212"/>
  <c r="AH163" i="212"/>
  <c r="AH161" i="212"/>
  <c r="AH169" i="212"/>
  <c r="AH167" i="212"/>
  <c r="AH155" i="212"/>
  <c r="AH171" i="212"/>
  <c r="AH158" i="212"/>
  <c r="AH156" i="212"/>
  <c r="AH173" i="212"/>
  <c r="AH151" i="212"/>
  <c r="I215" i="212"/>
  <c r="S221" i="212"/>
  <c r="V221" i="212" s="1"/>
  <c r="AL21" i="212"/>
  <c r="AL20" i="212"/>
  <c r="AL47" i="212"/>
  <c r="AL46" i="212"/>
  <c r="AL72" i="212"/>
  <c r="AL129" i="212"/>
  <c r="AL128" i="212"/>
  <c r="Q153" i="212"/>
  <c r="O159" i="212"/>
  <c r="AC164" i="212"/>
  <c r="AD172" i="212"/>
  <c r="AL127" i="211"/>
  <c r="AL126" i="211"/>
  <c r="AD143" i="211"/>
  <c r="AG163" i="211"/>
  <c r="Y163" i="211"/>
  <c r="AD163" i="211"/>
  <c r="U163" i="211"/>
  <c r="M163" i="211"/>
  <c r="AC163" i="211"/>
  <c r="T163" i="211"/>
  <c r="L163" i="211"/>
  <c r="AF163" i="211"/>
  <c r="S163" i="211"/>
  <c r="I163" i="211"/>
  <c r="AE163" i="211"/>
  <c r="R163" i="211"/>
  <c r="H163" i="211"/>
  <c r="V163" i="211"/>
  <c r="AJ163" i="211"/>
  <c r="AK174" i="211"/>
  <c r="AC174" i="211"/>
  <c r="U174" i="211"/>
  <c r="M174" i="211"/>
  <c r="AD174" i="211"/>
  <c r="T174" i="211"/>
  <c r="K174" i="211"/>
  <c r="AB174" i="211"/>
  <c r="S174" i="211"/>
  <c r="J174" i="211"/>
  <c r="AH174" i="211"/>
  <c r="W174" i="211"/>
  <c r="I174" i="211"/>
  <c r="AG174" i="211"/>
  <c r="V174" i="211"/>
  <c r="H174" i="211"/>
  <c r="AF174" i="211"/>
  <c r="R174" i="211"/>
  <c r="G174" i="211"/>
  <c r="Z174" i="211"/>
  <c r="AL109" i="212"/>
  <c r="AL108" i="212"/>
  <c r="AG151" i="212"/>
  <c r="I164" i="212"/>
  <c r="I219" i="212"/>
  <c r="M219" i="212" s="1"/>
  <c r="P219" i="212" s="1"/>
  <c r="R143" i="211"/>
  <c r="Z154" i="211"/>
  <c r="O156" i="211"/>
  <c r="AG160" i="211"/>
  <c r="Y160" i="211"/>
  <c r="Q160" i="211"/>
  <c r="I160" i="211"/>
  <c r="AF160" i="211"/>
  <c r="X160" i="211"/>
  <c r="P160" i="211"/>
  <c r="H160" i="211"/>
  <c r="AI160" i="211"/>
  <c r="W160" i="211"/>
  <c r="M160" i="211"/>
  <c r="AH160" i="211"/>
  <c r="V160" i="211"/>
  <c r="L160" i="211"/>
  <c r="AJ160" i="211"/>
  <c r="W163" i="211"/>
  <c r="O164" i="211"/>
  <c r="J165" i="211"/>
  <c r="O166" i="211"/>
  <c r="O168" i="211"/>
  <c r="L174" i="211"/>
  <c r="AL23" i="212"/>
  <c r="AL22" i="212"/>
  <c r="AL29" i="212"/>
  <c r="AL28" i="212"/>
  <c r="AH160" i="212"/>
  <c r="Z160" i="212"/>
  <c r="R160" i="212"/>
  <c r="J160" i="212"/>
  <c r="AJ160" i="212"/>
  <c r="AA160" i="212"/>
  <c r="Q160" i="212"/>
  <c r="H160" i="212"/>
  <c r="AI160" i="212"/>
  <c r="Y160" i="212"/>
  <c r="P160" i="212"/>
  <c r="G160" i="212"/>
  <c r="AL160" i="212" s="1"/>
  <c r="AN160" i="212" s="1"/>
  <c r="AK160" i="212"/>
  <c r="W160" i="212"/>
  <c r="L160" i="212"/>
  <c r="AG160" i="212"/>
  <c r="V160" i="212"/>
  <c r="K160" i="212"/>
  <c r="U160" i="212"/>
  <c r="T160" i="212"/>
  <c r="AF160" i="212"/>
  <c r="S160" i="212"/>
  <c r="AC160" i="212"/>
  <c r="AB160" i="212"/>
  <c r="O160" i="212"/>
  <c r="M160" i="212"/>
  <c r="N160" i="212"/>
  <c r="AI157" i="211"/>
  <c r="AL113" i="211"/>
  <c r="AL112" i="211"/>
  <c r="S143" i="211"/>
  <c r="AC152" i="211"/>
  <c r="AH156" i="211"/>
  <c r="S157" i="211"/>
  <c r="O159" i="211"/>
  <c r="J163" i="211"/>
  <c r="X163" i="211"/>
  <c r="AH164" i="211"/>
  <c r="AA165" i="211"/>
  <c r="AH166" i="211"/>
  <c r="Z167" i="211"/>
  <c r="AH168" i="211"/>
  <c r="AH170" i="211"/>
  <c r="AH172" i="211"/>
  <c r="AE174" i="211"/>
  <c r="I175" i="212"/>
  <c r="I171" i="212"/>
  <c r="I173" i="212"/>
  <c r="I158" i="212"/>
  <c r="I167" i="212"/>
  <c r="I163" i="212"/>
  <c r="I161" i="212"/>
  <c r="I153" i="212"/>
  <c r="I152" i="212"/>
  <c r="U171" i="212"/>
  <c r="AK163" i="212"/>
  <c r="AK171" i="212"/>
  <c r="AL16" i="212"/>
  <c r="AL25" i="212"/>
  <c r="AL24" i="212"/>
  <c r="AL87" i="212"/>
  <c r="AL86" i="212"/>
  <c r="AI143" i="212"/>
  <c r="Y152" i="212"/>
  <c r="AC172" i="212"/>
  <c r="M143" i="211"/>
  <c r="U143" i="211"/>
  <c r="AI143" i="211"/>
  <c r="AK151" i="211"/>
  <c r="AC151" i="211"/>
  <c r="U151" i="211"/>
  <c r="M151" i="211"/>
  <c r="AJ151" i="211"/>
  <c r="AA151" i="211"/>
  <c r="R151" i="211"/>
  <c r="I151" i="211"/>
  <c r="AI151" i="211"/>
  <c r="Z151" i="211"/>
  <c r="Q151" i="211"/>
  <c r="H151" i="211"/>
  <c r="S151" i="211"/>
  <c r="AE151" i="211"/>
  <c r="AG152" i="211"/>
  <c r="Y152" i="211"/>
  <c r="Q152" i="211"/>
  <c r="I152" i="211"/>
  <c r="AK152" i="211"/>
  <c r="AB152" i="211"/>
  <c r="S152" i="211"/>
  <c r="J152" i="211"/>
  <c r="AJ152" i="211"/>
  <c r="AA152" i="211"/>
  <c r="R152" i="211"/>
  <c r="H152" i="211"/>
  <c r="T152" i="211"/>
  <c r="AE152" i="211"/>
  <c r="AK153" i="211"/>
  <c r="AC153" i="211"/>
  <c r="U153" i="211"/>
  <c r="M153" i="211"/>
  <c r="AJ153" i="211"/>
  <c r="AA153" i="211"/>
  <c r="R153" i="211"/>
  <c r="I153" i="211"/>
  <c r="AI153" i="211"/>
  <c r="Z153" i="211"/>
  <c r="Q153" i="211"/>
  <c r="H153" i="211"/>
  <c r="S153" i="211"/>
  <c r="AE153" i="211"/>
  <c r="AG154" i="211"/>
  <c r="Y154" i="211"/>
  <c r="Q154" i="211"/>
  <c r="I154" i="211"/>
  <c r="AK154" i="211"/>
  <c r="AB154" i="211"/>
  <c r="S154" i="211"/>
  <c r="J154" i="211"/>
  <c r="AJ154" i="211"/>
  <c r="AA154" i="211"/>
  <c r="R154" i="211"/>
  <c r="H154" i="211"/>
  <c r="T154" i="211"/>
  <c r="AE154" i="211"/>
  <c r="AK155" i="211"/>
  <c r="AC155" i="211"/>
  <c r="U155" i="211"/>
  <c r="M155" i="211"/>
  <c r="AJ155" i="211"/>
  <c r="AA155" i="211"/>
  <c r="R155" i="211"/>
  <c r="I155" i="211"/>
  <c r="AI155" i="211"/>
  <c r="Z155" i="211"/>
  <c r="Q155" i="211"/>
  <c r="H155" i="211"/>
  <c r="S155" i="211"/>
  <c r="AE155" i="211"/>
  <c r="AG156" i="211"/>
  <c r="Y156" i="211"/>
  <c r="Q156" i="211"/>
  <c r="I156" i="211"/>
  <c r="AF156" i="211"/>
  <c r="X156" i="211"/>
  <c r="P156" i="211"/>
  <c r="H156" i="211"/>
  <c r="AL156" i="211" s="1"/>
  <c r="AN156" i="211" s="1"/>
  <c r="AE156" i="211"/>
  <c r="U156" i="211"/>
  <c r="K156" i="211"/>
  <c r="AD156" i="211"/>
  <c r="T156" i="211"/>
  <c r="J156" i="211"/>
  <c r="V156" i="211"/>
  <c r="AJ156" i="211"/>
  <c r="W157" i="211"/>
  <c r="K160" i="211"/>
  <c r="AA160" i="211"/>
  <c r="G162" i="211"/>
  <c r="U162" i="211"/>
  <c r="AK162" i="211"/>
  <c r="N163" i="211"/>
  <c r="AA163" i="211"/>
  <c r="W164" i="211"/>
  <c r="AJ164" i="211"/>
  <c r="G166" i="211"/>
  <c r="W166" i="211"/>
  <c r="AJ166" i="211"/>
  <c r="N167" i="211"/>
  <c r="G170" i="211"/>
  <c r="AL170" i="211" s="1"/>
  <c r="AN170" i="211" s="1"/>
  <c r="W170" i="211"/>
  <c r="AJ170" i="211"/>
  <c r="G172" i="211"/>
  <c r="W172" i="211"/>
  <c r="P174" i="211"/>
  <c r="AJ174" i="211"/>
  <c r="K174" i="212"/>
  <c r="K167" i="212"/>
  <c r="K165" i="212"/>
  <c r="K163" i="212"/>
  <c r="K161" i="212"/>
  <c r="K171" i="212"/>
  <c r="K155" i="212"/>
  <c r="K153" i="212"/>
  <c r="K151" i="212"/>
  <c r="K172" i="212"/>
  <c r="K169" i="212"/>
  <c r="K152" i="212"/>
  <c r="K158" i="212"/>
  <c r="K156" i="212"/>
  <c r="S171" i="212"/>
  <c r="S175" i="212"/>
  <c r="S173" i="212"/>
  <c r="S158" i="212"/>
  <c r="S169" i="212"/>
  <c r="S174" i="212"/>
  <c r="S172" i="212"/>
  <c r="S167" i="212"/>
  <c r="S153" i="212"/>
  <c r="S161" i="212"/>
  <c r="AA169" i="212"/>
  <c r="AA171" i="212"/>
  <c r="AA174" i="212"/>
  <c r="AA158" i="212"/>
  <c r="AA175" i="212"/>
  <c r="AA163" i="212"/>
  <c r="AA151" i="212"/>
  <c r="AA165" i="212"/>
  <c r="AA155" i="212"/>
  <c r="AA153" i="212"/>
  <c r="AA152" i="212"/>
  <c r="AI165" i="212"/>
  <c r="AI163" i="212"/>
  <c r="AI161" i="212"/>
  <c r="AI167" i="212"/>
  <c r="AI169" i="212"/>
  <c r="AI171" i="212"/>
  <c r="AI157" i="212"/>
  <c r="AI155" i="212"/>
  <c r="AI153" i="212"/>
  <c r="AI175" i="212"/>
  <c r="AI173" i="212"/>
  <c r="AI158" i="212"/>
  <c r="AI156" i="212"/>
  <c r="AI151" i="212"/>
  <c r="AL57" i="212"/>
  <c r="AL56" i="212"/>
  <c r="AL77" i="212"/>
  <c r="AL76" i="212"/>
  <c r="AL125" i="212"/>
  <c r="AL124" i="212"/>
  <c r="AL130" i="212"/>
  <c r="M143" i="212"/>
  <c r="S151" i="212"/>
  <c r="AK152" i="212"/>
  <c r="R153" i="212"/>
  <c r="AK154" i="212"/>
  <c r="T159" i="212"/>
  <c r="AD160" i="212"/>
  <c r="AA161" i="212"/>
  <c r="AC163" i="212"/>
  <c r="AD164" i="212"/>
  <c r="AJ167" i="212"/>
  <c r="I168" i="212"/>
  <c r="E4" i="212"/>
  <c r="K199" i="212"/>
  <c r="N157" i="212"/>
  <c r="AL27" i="212"/>
  <c r="AL26" i="212"/>
  <c r="AL39" i="212"/>
  <c r="AL38" i="212"/>
  <c r="AR55" i="212"/>
  <c r="AL67" i="212"/>
  <c r="AL66" i="212"/>
  <c r="AL85" i="212"/>
  <c r="AL84" i="212"/>
  <c r="AH154" i="212"/>
  <c r="Z154" i="212"/>
  <c r="R154" i="212"/>
  <c r="J154" i="212"/>
  <c r="AF154" i="212"/>
  <c r="W154" i="212"/>
  <c r="N154" i="212"/>
  <c r="AE154" i="212"/>
  <c r="V154" i="212"/>
  <c r="M154" i="212"/>
  <c r="AD154" i="212"/>
  <c r="U154" i="212"/>
  <c r="L154" i="212"/>
  <c r="AA154" i="212"/>
  <c r="K154" i="212"/>
  <c r="Y154" i="212"/>
  <c r="I154" i="212"/>
  <c r="X154" i="212"/>
  <c r="K215" i="212"/>
  <c r="AL43" i="212"/>
  <c r="AL42" i="212"/>
  <c r="AL53" i="212"/>
  <c r="AL52" i="212"/>
  <c r="AR73" i="212"/>
  <c r="AL93" i="212"/>
  <c r="AL92" i="212"/>
  <c r="AR137" i="212"/>
  <c r="AE143" i="212"/>
  <c r="W143" i="212"/>
  <c r="O143" i="212"/>
  <c r="G143" i="212"/>
  <c r="AC143" i="212"/>
  <c r="T143" i="212"/>
  <c r="K143" i="212"/>
  <c r="AK143" i="212"/>
  <c r="AB143" i="212"/>
  <c r="S143" i="212"/>
  <c r="J143" i="212"/>
  <c r="AJ143" i="212"/>
  <c r="AA143" i="212"/>
  <c r="R143" i="212"/>
  <c r="I143" i="212"/>
  <c r="AG143" i="212"/>
  <c r="Q143" i="212"/>
  <c r="AF143" i="212"/>
  <c r="P143" i="212"/>
  <c r="Y143" i="212"/>
  <c r="G154" i="212"/>
  <c r="AB154" i="212"/>
  <c r="AD161" i="212"/>
  <c r="AH162" i="212"/>
  <c r="Z162" i="212"/>
  <c r="R162" i="212"/>
  <c r="J162" i="212"/>
  <c r="AJ162" i="212"/>
  <c r="AA162" i="212"/>
  <c r="Q162" i="212"/>
  <c r="H162" i="212"/>
  <c r="AI162" i="212"/>
  <c r="Y162" i="212"/>
  <c r="P162" i="212"/>
  <c r="G162" i="212"/>
  <c r="AK162" i="212"/>
  <c r="W162" i="212"/>
  <c r="L162" i="212"/>
  <c r="AG162" i="212"/>
  <c r="V162" i="212"/>
  <c r="K162" i="212"/>
  <c r="AD162" i="212"/>
  <c r="N162" i="212"/>
  <c r="AC162" i="212"/>
  <c r="M162" i="212"/>
  <c r="AB162" i="212"/>
  <c r="I162" i="212"/>
  <c r="AE162" i="212"/>
  <c r="X162" i="212"/>
  <c r="U162" i="212"/>
  <c r="AD157" i="212"/>
  <c r="AL123" i="212"/>
  <c r="AL122" i="212"/>
  <c r="AD153" i="212"/>
  <c r="AD155" i="212"/>
  <c r="AF170" i="212"/>
  <c r="X170" i="212"/>
  <c r="P170" i="212"/>
  <c r="H170" i="212"/>
  <c r="AH170" i="212"/>
  <c r="Z170" i="212"/>
  <c r="R170" i="212"/>
  <c r="J170" i="212"/>
  <c r="AJ170" i="212"/>
  <c r="Y170" i="212"/>
  <c r="N170" i="212"/>
  <c r="AI170" i="212"/>
  <c r="W170" i="212"/>
  <c r="M170" i="212"/>
  <c r="AG170" i="212"/>
  <c r="V170" i="212"/>
  <c r="L170" i="212"/>
  <c r="AK170" i="212"/>
  <c r="S170" i="212"/>
  <c r="AE170" i="212"/>
  <c r="Q170" i="212"/>
  <c r="AD170" i="212"/>
  <c r="O170" i="212"/>
  <c r="T170" i="212"/>
  <c r="K170" i="212"/>
  <c r="I170" i="212"/>
  <c r="AB170" i="212"/>
  <c r="AA170" i="212"/>
  <c r="U170" i="212"/>
  <c r="AK159" i="211"/>
  <c r="AC159" i="211"/>
  <c r="U159" i="211"/>
  <c r="M159" i="211"/>
  <c r="AJ159" i="211"/>
  <c r="AB159" i="211"/>
  <c r="T159" i="211"/>
  <c r="L159" i="211"/>
  <c r="P159" i="211"/>
  <c r="Z159" i="211"/>
  <c r="AK164" i="211"/>
  <c r="AC164" i="211"/>
  <c r="U164" i="211"/>
  <c r="M164" i="211"/>
  <c r="AD164" i="211"/>
  <c r="T164" i="211"/>
  <c r="K164" i="211"/>
  <c r="AB164" i="211"/>
  <c r="S164" i="211"/>
  <c r="J164" i="211"/>
  <c r="Q164" i="211"/>
  <c r="AE164" i="211"/>
  <c r="AG165" i="211"/>
  <c r="Y165" i="211"/>
  <c r="Q165" i="211"/>
  <c r="I165" i="211"/>
  <c r="AD165" i="211"/>
  <c r="U165" i="211"/>
  <c r="L165" i="211"/>
  <c r="AC165" i="211"/>
  <c r="T165" i="211"/>
  <c r="K165" i="211"/>
  <c r="R165" i="211"/>
  <c r="AE165" i="211"/>
  <c r="AK157" i="211"/>
  <c r="AC157" i="211"/>
  <c r="U157" i="211"/>
  <c r="M157" i="211"/>
  <c r="AJ157" i="211"/>
  <c r="AB157" i="211"/>
  <c r="T157" i="211"/>
  <c r="L157" i="211"/>
  <c r="P157" i="211"/>
  <c r="Z157" i="211"/>
  <c r="G159" i="211"/>
  <c r="Q159" i="211"/>
  <c r="AA159" i="211"/>
  <c r="G164" i="211"/>
  <c r="R164" i="211"/>
  <c r="AF164" i="211"/>
  <c r="G165" i="211"/>
  <c r="S165" i="211"/>
  <c r="AF165" i="211"/>
  <c r="AK166" i="211"/>
  <c r="AC166" i="211"/>
  <c r="U166" i="211"/>
  <c r="M166" i="211"/>
  <c r="AD166" i="211"/>
  <c r="T166" i="211"/>
  <c r="K166" i="211"/>
  <c r="AB166" i="211"/>
  <c r="S166" i="211"/>
  <c r="J166" i="211"/>
  <c r="Q166" i="211"/>
  <c r="AE166" i="211"/>
  <c r="AG167" i="211"/>
  <c r="Y167" i="211"/>
  <c r="Q167" i="211"/>
  <c r="I167" i="211"/>
  <c r="AD167" i="211"/>
  <c r="U167" i="211"/>
  <c r="L167" i="211"/>
  <c r="AC167" i="211"/>
  <c r="T167" i="211"/>
  <c r="K167" i="211"/>
  <c r="R167" i="211"/>
  <c r="AE167" i="211"/>
  <c r="AK168" i="211"/>
  <c r="AC168" i="211"/>
  <c r="U168" i="211"/>
  <c r="M168" i="211"/>
  <c r="AD168" i="211"/>
  <c r="T168" i="211"/>
  <c r="K168" i="211"/>
  <c r="AB168" i="211"/>
  <c r="S168" i="211"/>
  <c r="J168" i="211"/>
  <c r="Q168" i="211"/>
  <c r="AE168" i="211"/>
  <c r="AG169" i="211"/>
  <c r="Y169" i="211"/>
  <c r="Q169" i="211"/>
  <c r="I169" i="211"/>
  <c r="AD169" i="211"/>
  <c r="U169" i="211"/>
  <c r="L169" i="211"/>
  <c r="AC169" i="211"/>
  <c r="T169" i="211"/>
  <c r="K169" i="211"/>
  <c r="R169" i="211"/>
  <c r="AE169" i="211"/>
  <c r="P171" i="212"/>
  <c r="AF163" i="212"/>
  <c r="AR49" i="212"/>
  <c r="AL65" i="212"/>
  <c r="AL64" i="212"/>
  <c r="AL75" i="212"/>
  <c r="AL74" i="212"/>
  <c r="AL79" i="212"/>
  <c r="AL83" i="212"/>
  <c r="AL82" i="212"/>
  <c r="AL101" i="212"/>
  <c r="AL100" i="212"/>
  <c r="AL119" i="212"/>
  <c r="AL118" i="212"/>
  <c r="AL135" i="212"/>
  <c r="AL134" i="212"/>
  <c r="AL139" i="212"/>
  <c r="AL138" i="212"/>
  <c r="H143" i="212"/>
  <c r="Z143" i="212"/>
  <c r="H154" i="212"/>
  <c r="AC154" i="212"/>
  <c r="O162" i="212"/>
  <c r="AH164" i="212"/>
  <c r="Z164" i="212"/>
  <c r="R164" i="212"/>
  <c r="J164" i="212"/>
  <c r="AJ164" i="212"/>
  <c r="AA164" i="212"/>
  <c r="Q164" i="212"/>
  <c r="H164" i="212"/>
  <c r="AI164" i="212"/>
  <c r="Y164" i="212"/>
  <c r="P164" i="212"/>
  <c r="G164" i="212"/>
  <c r="AK164" i="212"/>
  <c r="W164" i="212"/>
  <c r="L164" i="212"/>
  <c r="AG164" i="212"/>
  <c r="V164" i="212"/>
  <c r="K164" i="212"/>
  <c r="U164" i="212"/>
  <c r="T164" i="212"/>
  <c r="AF164" i="212"/>
  <c r="S164" i="212"/>
  <c r="X164" i="212"/>
  <c r="O164" i="212"/>
  <c r="N164" i="212"/>
  <c r="AC170" i="212"/>
  <c r="G169" i="212"/>
  <c r="G175" i="212"/>
  <c r="G171" i="212"/>
  <c r="G167" i="212"/>
  <c r="G165" i="212"/>
  <c r="G163" i="212"/>
  <c r="G161" i="212"/>
  <c r="AL11" i="212"/>
  <c r="AL10" i="212"/>
  <c r="G158" i="212"/>
  <c r="G157" i="212"/>
  <c r="G156" i="212"/>
  <c r="O171" i="212"/>
  <c r="O169" i="212"/>
  <c r="O165" i="212"/>
  <c r="O161" i="212"/>
  <c r="O167" i="212"/>
  <c r="W175" i="212"/>
  <c r="W167" i="212"/>
  <c r="W165" i="212"/>
  <c r="W163" i="212"/>
  <c r="W161" i="212"/>
  <c r="W174" i="212"/>
  <c r="W173" i="212"/>
  <c r="W153" i="212"/>
  <c r="W151" i="212"/>
  <c r="W155" i="212"/>
  <c r="W169" i="212"/>
  <c r="AE171" i="212"/>
  <c r="AE173" i="212"/>
  <c r="AE165" i="212"/>
  <c r="AE161" i="212"/>
  <c r="AE153" i="212"/>
  <c r="AE151" i="212"/>
  <c r="AE158" i="212"/>
  <c r="I221" i="212"/>
  <c r="M221" i="212" s="1"/>
  <c r="P221" i="212" s="1"/>
  <c r="S219" i="212"/>
  <c r="V219" i="212" s="1"/>
  <c r="I217" i="212"/>
  <c r="S215" i="212"/>
  <c r="V215" i="212" s="1"/>
  <c r="I213" i="212"/>
  <c r="S211" i="212"/>
  <c r="V211" i="212" s="1"/>
  <c r="I209" i="212"/>
  <c r="M209" i="212" s="1"/>
  <c r="P209" i="212" s="1"/>
  <c r="S207" i="212"/>
  <c r="V207" i="212" s="1"/>
  <c r="I205" i="212"/>
  <c r="M205" i="212" s="1"/>
  <c r="P205" i="212" s="1"/>
  <c r="S203" i="212"/>
  <c r="V203" i="212" s="1"/>
  <c r="I201" i="212"/>
  <c r="S199" i="212"/>
  <c r="V199" i="212" s="1"/>
  <c r="I197" i="212"/>
  <c r="K220" i="212"/>
  <c r="K216" i="212"/>
  <c r="K212" i="212"/>
  <c r="K208" i="212"/>
  <c r="K204" i="212"/>
  <c r="K200" i="212"/>
  <c r="I220" i="212"/>
  <c r="S218" i="212"/>
  <c r="V218" i="212" s="1"/>
  <c r="I216" i="212"/>
  <c r="S214" i="212"/>
  <c r="V214" i="212" s="1"/>
  <c r="K218" i="212"/>
  <c r="K214" i="212"/>
  <c r="S220" i="212"/>
  <c r="V220" i="212" s="1"/>
  <c r="K221" i="212"/>
  <c r="K217" i="212"/>
  <c r="K213" i="212"/>
  <c r="K209" i="212"/>
  <c r="K205" i="212"/>
  <c r="K197" i="212"/>
  <c r="K207" i="212"/>
  <c r="S205" i="212"/>
  <c r="V205" i="212" s="1"/>
  <c r="S204" i="212"/>
  <c r="V204" i="212" s="1"/>
  <c r="I203" i="212"/>
  <c r="K202" i="212"/>
  <c r="I200" i="212"/>
  <c r="M200" i="212" s="1"/>
  <c r="P200" i="212" s="1"/>
  <c r="I198" i="212"/>
  <c r="S216" i="212"/>
  <c r="V216" i="212" s="1"/>
  <c r="K211" i="212"/>
  <c r="S209" i="212"/>
  <c r="V209" i="212" s="1"/>
  <c r="S208" i="212"/>
  <c r="V208" i="212" s="1"/>
  <c r="I207" i="212"/>
  <c r="K206" i="212"/>
  <c r="I204" i="212"/>
  <c r="I202" i="212"/>
  <c r="M202" i="212" s="1"/>
  <c r="P202" i="212" s="1"/>
  <c r="S212" i="212"/>
  <c r="V212" i="212" s="1"/>
  <c r="I211" i="212"/>
  <c r="M211" i="212" s="1"/>
  <c r="P211" i="212" s="1"/>
  <c r="K210" i="212"/>
  <c r="I208" i="212"/>
  <c r="I206" i="212"/>
  <c r="I212" i="212"/>
  <c r="I199" i="212"/>
  <c r="K198" i="212"/>
  <c r="S210" i="212"/>
  <c r="V210" i="212" s="1"/>
  <c r="S200" i="212"/>
  <c r="V200" i="212" s="1"/>
  <c r="S217" i="212"/>
  <c r="V217" i="212" s="1"/>
  <c r="S213" i="212"/>
  <c r="V213" i="212" s="1"/>
  <c r="I210" i="212"/>
  <c r="M210" i="212" s="1"/>
  <c r="P210" i="212" s="1"/>
  <c r="S198" i="212"/>
  <c r="V198" i="212" s="1"/>
  <c r="S197" i="212"/>
  <c r="V197" i="212" s="1"/>
  <c r="I214" i="212"/>
  <c r="M214" i="212" s="1"/>
  <c r="P214" i="212" s="1"/>
  <c r="AL61" i="212"/>
  <c r="AL60" i="212"/>
  <c r="AL91" i="212"/>
  <c r="AL90" i="212"/>
  <c r="AL95" i="212"/>
  <c r="O151" i="212"/>
  <c r="G153" i="212"/>
  <c r="P155" i="212"/>
  <c r="AE155" i="212"/>
  <c r="AF168" i="212"/>
  <c r="X168" i="212"/>
  <c r="P168" i="212"/>
  <c r="H168" i="212"/>
  <c r="AH168" i="212"/>
  <c r="Z168" i="212"/>
  <c r="R168" i="212"/>
  <c r="J168" i="212"/>
  <c r="AG168" i="212"/>
  <c r="V168" i="212"/>
  <c r="L168" i="212"/>
  <c r="AE168" i="212"/>
  <c r="U168" i="212"/>
  <c r="K168" i="212"/>
  <c r="AC168" i="212"/>
  <c r="O168" i="212"/>
  <c r="AB168" i="212"/>
  <c r="N168" i="212"/>
  <c r="AA168" i="212"/>
  <c r="M168" i="212"/>
  <c r="Y168" i="212"/>
  <c r="W168" i="212"/>
  <c r="T168" i="212"/>
  <c r="AK168" i="212"/>
  <c r="K203" i="212"/>
  <c r="S206" i="212"/>
  <c r="V206" i="212" s="1"/>
  <c r="N143" i="211"/>
  <c r="V143" i="211"/>
  <c r="H175" i="212"/>
  <c r="H171" i="212"/>
  <c r="H167" i="212"/>
  <c r="H165" i="212"/>
  <c r="H163" i="212"/>
  <c r="H161" i="212"/>
  <c r="H173" i="212"/>
  <c r="H158" i="212"/>
  <c r="P169" i="212"/>
  <c r="P167" i="212"/>
  <c r="P165" i="212"/>
  <c r="P163" i="212"/>
  <c r="P161" i="212"/>
  <c r="P175" i="212"/>
  <c r="P173" i="212"/>
  <c r="X173" i="212"/>
  <c r="X175" i="212"/>
  <c r="X155" i="212"/>
  <c r="X169" i="212"/>
  <c r="X163" i="212"/>
  <c r="AF173" i="212"/>
  <c r="AF175" i="212"/>
  <c r="AF171" i="212"/>
  <c r="AF165" i="212"/>
  <c r="AF161" i="212"/>
  <c r="AF153" i="212"/>
  <c r="AF151" i="212"/>
  <c r="AF158" i="212"/>
  <c r="AF157" i="212"/>
  <c r="AF156" i="212"/>
  <c r="AF155" i="212"/>
  <c r="AL107" i="212"/>
  <c r="AL106" i="212"/>
  <c r="AL111" i="212"/>
  <c r="P151" i="212"/>
  <c r="AH152" i="212"/>
  <c r="Z152" i="212"/>
  <c r="R152" i="212"/>
  <c r="J152" i="212"/>
  <c r="AF152" i="212"/>
  <c r="W152" i="212"/>
  <c r="N152" i="212"/>
  <c r="AE152" i="212"/>
  <c r="V152" i="212"/>
  <c r="M152" i="212"/>
  <c r="AD152" i="212"/>
  <c r="U152" i="212"/>
  <c r="L152" i="212"/>
  <c r="S152" i="212"/>
  <c r="AI152" i="212"/>
  <c r="H153" i="212"/>
  <c r="X153" i="212"/>
  <c r="AD165" i="212"/>
  <c r="X167" i="212"/>
  <c r="G168" i="212"/>
  <c r="G173" i="212"/>
  <c r="AL78" i="212"/>
  <c r="AL94" i="212"/>
  <c r="AL110" i="212"/>
  <c r="AL126" i="212"/>
  <c r="AC151" i="212"/>
  <c r="AC153" i="212"/>
  <c r="AD156" i="212"/>
  <c r="V156" i="212"/>
  <c r="N156" i="212"/>
  <c r="AK156" i="212"/>
  <c r="AB156" i="212"/>
  <c r="S156" i="212"/>
  <c r="J156" i="212"/>
  <c r="AJ156" i="212"/>
  <c r="AA156" i="212"/>
  <c r="R156" i="212"/>
  <c r="I156" i="212"/>
  <c r="Q156" i="212"/>
  <c r="AE156" i="212"/>
  <c r="AH157" i="212"/>
  <c r="Z157" i="212"/>
  <c r="R157" i="212"/>
  <c r="J157" i="212"/>
  <c r="AC157" i="212"/>
  <c r="T157" i="212"/>
  <c r="K157" i="212"/>
  <c r="AK157" i="212"/>
  <c r="AB157" i="212"/>
  <c r="S157" i="212"/>
  <c r="I157" i="212"/>
  <c r="Q157" i="212"/>
  <c r="AE157" i="212"/>
  <c r="AD158" i="212"/>
  <c r="M161" i="212"/>
  <c r="AC161" i="212"/>
  <c r="M171" i="212"/>
  <c r="U173" i="212"/>
  <c r="U169" i="212"/>
  <c r="U167" i="212"/>
  <c r="U165" i="212"/>
  <c r="U163" i="212"/>
  <c r="U161" i="212"/>
  <c r="U155" i="212"/>
  <c r="AC173" i="212"/>
  <c r="AC169" i="212"/>
  <c r="AC171" i="212"/>
  <c r="AC155" i="212"/>
  <c r="AK173" i="212"/>
  <c r="AK167" i="212"/>
  <c r="AK169" i="212"/>
  <c r="AK158" i="212"/>
  <c r="AK155" i="212"/>
  <c r="AL141" i="212"/>
  <c r="AL140" i="212"/>
  <c r="U151" i="212"/>
  <c r="U153" i="212"/>
  <c r="U157" i="212"/>
  <c r="AD163" i="212"/>
  <c r="V174" i="212"/>
  <c r="M151" i="212"/>
  <c r="M153" i="212"/>
  <c r="M155" i="212"/>
  <c r="H156" i="212"/>
  <c r="U156" i="212"/>
  <c r="AG156" i="212"/>
  <c r="H157" i="212"/>
  <c r="V157" i="212"/>
  <c r="AG157" i="212"/>
  <c r="U158" i="212"/>
  <c r="AK165" i="212"/>
  <c r="AJ171" i="212"/>
  <c r="M174" i="212"/>
  <c r="AF172" i="212"/>
  <c r="X172" i="212"/>
  <c r="P172" i="212"/>
  <c r="H172" i="212"/>
  <c r="AH172" i="212"/>
  <c r="Z172" i="212"/>
  <c r="R172" i="212"/>
  <c r="J172" i="212"/>
  <c r="AK172" i="212"/>
  <c r="AA172" i="212"/>
  <c r="O172" i="212"/>
  <c r="AJ172" i="212"/>
  <c r="Y172" i="212"/>
  <c r="N172" i="212"/>
  <c r="AI172" i="212"/>
  <c r="W172" i="212"/>
  <c r="M172" i="212"/>
  <c r="U172" i="212"/>
  <c r="G172" i="212"/>
  <c r="V172" i="212"/>
  <c r="N151" i="212"/>
  <c r="V151" i="212"/>
  <c r="N153" i="212"/>
  <c r="V153" i="212"/>
  <c r="N155" i="212"/>
  <c r="V155" i="212"/>
  <c r="I172" i="212"/>
  <c r="AB172" i="212"/>
  <c r="AJ173" i="212"/>
  <c r="AK175" i="212"/>
  <c r="AJ169" i="212"/>
  <c r="AG174" i="212"/>
  <c r="Y174" i="212"/>
  <c r="Q174" i="212"/>
  <c r="I174" i="212"/>
  <c r="AF174" i="212"/>
  <c r="X174" i="212"/>
  <c r="P174" i="212"/>
  <c r="H174" i="212"/>
  <c r="AH174" i="212"/>
  <c r="Z174" i="212"/>
  <c r="R174" i="212"/>
  <c r="J174" i="212"/>
  <c r="T174" i="212"/>
  <c r="AE174" i="212"/>
  <c r="N158" i="212"/>
  <c r="V158" i="212"/>
  <c r="G174" i="212"/>
  <c r="U174" i="212"/>
  <c r="AI174" i="212"/>
  <c r="N161" i="212"/>
  <c r="V161" i="212"/>
  <c r="N163" i="212"/>
  <c r="V163" i="212"/>
  <c r="N165" i="212"/>
  <c r="V165" i="212"/>
  <c r="N167" i="212"/>
  <c r="V167" i="212"/>
  <c r="AD167" i="212"/>
  <c r="N169" i="212"/>
  <c r="V169" i="212"/>
  <c r="AD169" i="212"/>
  <c r="N171" i="212"/>
  <c r="V171" i="212"/>
  <c r="AD171" i="212"/>
  <c r="N173" i="212"/>
  <c r="V173" i="212"/>
  <c r="AD173" i="212"/>
  <c r="N175" i="212"/>
  <c r="V175" i="212"/>
  <c r="AD175" i="212"/>
  <c r="L169" i="212"/>
  <c r="T169" i="212"/>
  <c r="AB169" i="212"/>
  <c r="L171" i="212"/>
  <c r="T171" i="212"/>
  <c r="AB171" i="212"/>
  <c r="L173" i="212"/>
  <c r="T173" i="212"/>
  <c r="AB173" i="212"/>
  <c r="L175" i="212"/>
  <c r="T175" i="212"/>
  <c r="AB175" i="212"/>
  <c r="AJ175" i="212"/>
  <c r="M175" i="212"/>
  <c r="U175" i="212"/>
  <c r="AC175" i="212"/>
  <c r="J41" i="205"/>
  <c r="M201" i="211" l="1"/>
  <c r="P201" i="211" s="1"/>
  <c r="AQ79" i="211"/>
  <c r="AR79" i="211" s="1"/>
  <c r="AQ123" i="211"/>
  <c r="AR123" i="211" s="1"/>
  <c r="M197" i="211"/>
  <c r="P197" i="211" s="1"/>
  <c r="M205" i="211"/>
  <c r="P205" i="211" s="1"/>
  <c r="AQ115" i="211"/>
  <c r="AR115" i="211" s="1"/>
  <c r="AQ103" i="211"/>
  <c r="AR103" i="211" s="1"/>
  <c r="AQ139" i="211"/>
  <c r="AR139" i="211" s="1"/>
  <c r="AQ109" i="211"/>
  <c r="AR109" i="211" s="1"/>
  <c r="AQ55" i="211"/>
  <c r="AR55" i="211" s="1"/>
  <c r="M208" i="211"/>
  <c r="P208" i="211" s="1"/>
  <c r="M212" i="211"/>
  <c r="P212" i="211" s="1"/>
  <c r="M214" i="211"/>
  <c r="P214" i="211" s="1"/>
  <c r="AQ129" i="211"/>
  <c r="AR129" i="211" s="1"/>
  <c r="AQ29" i="211"/>
  <c r="AR29" i="211" s="1"/>
  <c r="M206" i="211"/>
  <c r="P206" i="211" s="1"/>
  <c r="AQ95" i="211"/>
  <c r="AR95" i="211" s="1"/>
  <c r="AQ31" i="211"/>
  <c r="AR31" i="211" s="1"/>
  <c r="AQ97" i="211"/>
  <c r="AR97" i="211" s="1"/>
  <c r="AQ81" i="211"/>
  <c r="AR81" i="211" s="1"/>
  <c r="AQ19" i="211"/>
  <c r="AR19" i="211" s="1"/>
  <c r="AQ45" i="211"/>
  <c r="AR45" i="211" s="1"/>
  <c r="M219" i="211"/>
  <c r="P219" i="211" s="1"/>
  <c r="M202" i="211"/>
  <c r="P202" i="211" s="1"/>
  <c r="AQ137" i="211"/>
  <c r="AR137" i="211" s="1"/>
  <c r="AM137" i="211"/>
  <c r="AQ21" i="211"/>
  <c r="AR21" i="211" s="1"/>
  <c r="AM21" i="211"/>
  <c r="M221" i="211"/>
  <c r="P221" i="211" s="1"/>
  <c r="M209" i="211"/>
  <c r="P209" i="211" s="1"/>
  <c r="AL173" i="211"/>
  <c r="AN173" i="211" s="1"/>
  <c r="AM91" i="211"/>
  <c r="AQ91" i="211"/>
  <c r="AR91" i="211" s="1"/>
  <c r="AM41" i="211"/>
  <c r="AQ41" i="211"/>
  <c r="AR41" i="211" s="1"/>
  <c r="AQ115" i="212"/>
  <c r="AR115" i="212" s="1"/>
  <c r="AM115" i="212"/>
  <c r="AQ121" i="211"/>
  <c r="AR121" i="211" s="1"/>
  <c r="AM121" i="211"/>
  <c r="AQ83" i="211"/>
  <c r="AR83" i="211" s="1"/>
  <c r="AM83" i="211"/>
  <c r="AQ53" i="212"/>
  <c r="AR53" i="212" s="1"/>
  <c r="AM53" i="212"/>
  <c r="AM47" i="212"/>
  <c r="AQ47" i="212"/>
  <c r="AR47" i="212" s="1"/>
  <c r="AM59" i="212"/>
  <c r="AQ59" i="212"/>
  <c r="AR59" i="212" s="1"/>
  <c r="AM141" i="212"/>
  <c r="AQ141" i="212"/>
  <c r="AR141" i="212" s="1"/>
  <c r="AM13" i="211"/>
  <c r="AQ13" i="211"/>
  <c r="AR13" i="211" s="1"/>
  <c r="AQ89" i="211"/>
  <c r="AR89" i="211" s="1"/>
  <c r="AM89" i="211"/>
  <c r="AL171" i="212"/>
  <c r="AN171" i="212" s="1"/>
  <c r="AM65" i="212"/>
  <c r="AQ65" i="212"/>
  <c r="AR65" i="212" s="1"/>
  <c r="AM67" i="212"/>
  <c r="AQ67" i="212"/>
  <c r="AR67" i="212" s="1"/>
  <c r="AL158" i="212"/>
  <c r="AN158" i="212" s="1"/>
  <c r="AQ101" i="212"/>
  <c r="AR101" i="212" s="1"/>
  <c r="AM101" i="212"/>
  <c r="AL162" i="211"/>
  <c r="AN162" i="211" s="1"/>
  <c r="AQ73" i="211"/>
  <c r="AR73" i="211" s="1"/>
  <c r="AM73" i="211"/>
  <c r="AM27" i="211"/>
  <c r="AQ27" i="211"/>
  <c r="AR27" i="211" s="1"/>
  <c r="AQ51" i="212"/>
  <c r="AR51" i="212" s="1"/>
  <c r="AM51" i="212"/>
  <c r="AM15" i="211"/>
  <c r="AQ15" i="211"/>
  <c r="AR15" i="211" s="1"/>
  <c r="M212" i="212"/>
  <c r="P212" i="212" s="1"/>
  <c r="AL169" i="212"/>
  <c r="AN169" i="212" s="1"/>
  <c r="AM15" i="212"/>
  <c r="AQ15" i="212"/>
  <c r="S202" i="212" s="1"/>
  <c r="V202" i="212" s="1"/>
  <c r="AQ69" i="211"/>
  <c r="AR69" i="211" s="1"/>
  <c r="AM69" i="211"/>
  <c r="AM111" i="212"/>
  <c r="AQ111" i="212"/>
  <c r="AR111" i="212" s="1"/>
  <c r="M203" i="212"/>
  <c r="P203" i="212" s="1"/>
  <c r="M197" i="212"/>
  <c r="P197" i="212" s="1"/>
  <c r="AM11" i="212"/>
  <c r="AQ11" i="212"/>
  <c r="S201" i="212" s="1"/>
  <c r="V201" i="212" s="1"/>
  <c r="AM139" i="212"/>
  <c r="AQ139" i="212"/>
  <c r="AR139" i="212" s="1"/>
  <c r="AM83" i="212"/>
  <c r="AQ83" i="212"/>
  <c r="AR83" i="212" s="1"/>
  <c r="AM123" i="212"/>
  <c r="AQ123" i="212"/>
  <c r="AR123" i="212" s="1"/>
  <c r="AL154" i="212"/>
  <c r="AN154" i="212" s="1"/>
  <c r="AM93" i="212"/>
  <c r="AQ93" i="212"/>
  <c r="AR93" i="212" s="1"/>
  <c r="AL172" i="211"/>
  <c r="AN172" i="211" s="1"/>
  <c r="AM29" i="212"/>
  <c r="AQ29" i="212"/>
  <c r="AR29" i="212" s="1"/>
  <c r="AM109" i="212"/>
  <c r="AQ109" i="212"/>
  <c r="AR109" i="212" s="1"/>
  <c r="AQ127" i="211"/>
  <c r="AR127" i="211" s="1"/>
  <c r="AM127" i="211"/>
  <c r="AM113" i="212"/>
  <c r="AQ113" i="212"/>
  <c r="AR113" i="212" s="1"/>
  <c r="AM59" i="211"/>
  <c r="AQ59" i="211"/>
  <c r="AR59" i="211" s="1"/>
  <c r="AL152" i="212"/>
  <c r="AN152" i="212" s="1"/>
  <c r="AQ41" i="212"/>
  <c r="AR41" i="212" s="1"/>
  <c r="AM41" i="212"/>
  <c r="AQ99" i="211"/>
  <c r="AR99" i="211" s="1"/>
  <c r="AM99" i="211"/>
  <c r="M204" i="211"/>
  <c r="P204" i="211" s="1"/>
  <c r="M207" i="211"/>
  <c r="P207" i="211" s="1"/>
  <c r="AM33" i="212"/>
  <c r="AQ33" i="212"/>
  <c r="AR33" i="212" s="1"/>
  <c r="AQ25" i="211"/>
  <c r="AR25" i="211" s="1"/>
  <c r="AM25" i="211"/>
  <c r="AL167" i="211"/>
  <c r="AN167" i="211" s="1"/>
  <c r="AL153" i="211"/>
  <c r="AN153" i="211" s="1"/>
  <c r="AQ101" i="211"/>
  <c r="AR101" i="211" s="1"/>
  <c r="AM101" i="211"/>
  <c r="AM117" i="211"/>
  <c r="AQ117" i="211"/>
  <c r="AR117" i="211" s="1"/>
  <c r="AM61" i="211"/>
  <c r="AQ61" i="211"/>
  <c r="AR61" i="211" s="1"/>
  <c r="AM111" i="211"/>
  <c r="AQ111" i="211"/>
  <c r="AR111" i="211" s="1"/>
  <c r="AL154" i="211"/>
  <c r="AN154" i="211" s="1"/>
  <c r="AM11" i="211"/>
  <c r="AQ11" i="211"/>
  <c r="AR11" i="211" s="1"/>
  <c r="AL165" i="212"/>
  <c r="AN165" i="212" s="1"/>
  <c r="AM75" i="212"/>
  <c r="AQ75" i="212"/>
  <c r="AR75" i="212" s="1"/>
  <c r="AQ69" i="212"/>
  <c r="AR69" i="212" s="1"/>
  <c r="AM69" i="212"/>
  <c r="AQ35" i="211"/>
  <c r="AR35" i="211" s="1"/>
  <c r="AM35" i="211"/>
  <c r="AL167" i="212"/>
  <c r="AN167" i="212" s="1"/>
  <c r="AL165" i="211"/>
  <c r="AN165" i="211" s="1"/>
  <c r="AM25" i="212"/>
  <c r="AQ25" i="212"/>
  <c r="AR25" i="212" s="1"/>
  <c r="AL143" i="211"/>
  <c r="AL166" i="212"/>
  <c r="AN166" i="212" s="1"/>
  <c r="AQ105" i="211"/>
  <c r="AR105" i="211" s="1"/>
  <c r="AM105" i="211"/>
  <c r="AQ85" i="211"/>
  <c r="AR85" i="211" s="1"/>
  <c r="AM85" i="211"/>
  <c r="M198" i="212"/>
  <c r="P198" i="212" s="1"/>
  <c r="AL157" i="212"/>
  <c r="AN157" i="212" s="1"/>
  <c r="AL160" i="211"/>
  <c r="AN160" i="211" s="1"/>
  <c r="AL172" i="212"/>
  <c r="AN172" i="212" s="1"/>
  <c r="M204" i="212"/>
  <c r="P204" i="212" s="1"/>
  <c r="AL175" i="212"/>
  <c r="AN175" i="212" s="1"/>
  <c r="AM129" i="212"/>
  <c r="AQ129" i="212"/>
  <c r="AR129" i="212" s="1"/>
  <c r="M217" i="211"/>
  <c r="P217" i="211" s="1"/>
  <c r="AM87" i="211"/>
  <c r="AQ87" i="211"/>
  <c r="AR87" i="211" s="1"/>
  <c r="M216" i="212"/>
  <c r="P216" i="212" s="1"/>
  <c r="AL164" i="211"/>
  <c r="AN164" i="211" s="1"/>
  <c r="AL166" i="211"/>
  <c r="AN166" i="211" s="1"/>
  <c r="M206" i="212"/>
  <c r="P206" i="212" s="1"/>
  <c r="M213" i="212"/>
  <c r="P213" i="212" s="1"/>
  <c r="AL174" i="212"/>
  <c r="AN174" i="212" s="1"/>
  <c r="AL161" i="212"/>
  <c r="AN161" i="212" s="1"/>
  <c r="AM79" i="212"/>
  <c r="AQ79" i="212"/>
  <c r="AR79" i="212" s="1"/>
  <c r="AQ39" i="212"/>
  <c r="AR39" i="212" s="1"/>
  <c r="AM39" i="212"/>
  <c r="AQ105" i="212"/>
  <c r="AR105" i="212" s="1"/>
  <c r="AM105" i="212"/>
  <c r="AL159" i="212"/>
  <c r="AN159" i="212" s="1"/>
  <c r="AM97" i="212"/>
  <c r="AQ97" i="212"/>
  <c r="AR97" i="212" s="1"/>
  <c r="AM119" i="211"/>
  <c r="AQ119" i="211"/>
  <c r="AR119" i="211" s="1"/>
  <c r="AQ47" i="211"/>
  <c r="AR47" i="211" s="1"/>
  <c r="AM47" i="211"/>
  <c r="AL168" i="211"/>
  <c r="AN168" i="211" s="1"/>
  <c r="M200" i="211"/>
  <c r="P200" i="211" s="1"/>
  <c r="AM81" i="212"/>
  <c r="AQ81" i="212"/>
  <c r="AR81" i="212" s="1"/>
  <c r="AM71" i="211"/>
  <c r="AQ71" i="211"/>
  <c r="AR71" i="211" s="1"/>
  <c r="AL169" i="211"/>
  <c r="AN169" i="211" s="1"/>
  <c r="AL155" i="211"/>
  <c r="AN155" i="211" s="1"/>
  <c r="AQ37" i="212"/>
  <c r="AR37" i="212" s="1"/>
  <c r="AM37" i="212"/>
  <c r="AM131" i="211"/>
  <c r="AQ131" i="211"/>
  <c r="AR131" i="211" s="1"/>
  <c r="AM49" i="211"/>
  <c r="AQ49" i="211"/>
  <c r="AR49" i="211" s="1"/>
  <c r="AQ117" i="212"/>
  <c r="AR117" i="212" s="1"/>
  <c r="AM117" i="212"/>
  <c r="AQ141" i="211"/>
  <c r="AR141" i="211" s="1"/>
  <c r="AM141" i="211"/>
  <c r="AQ85" i="212"/>
  <c r="AR85" i="212" s="1"/>
  <c r="AM85" i="212"/>
  <c r="AQ27" i="212"/>
  <c r="AR27" i="212" s="1"/>
  <c r="AM27" i="212"/>
  <c r="AQ57" i="212"/>
  <c r="AR57" i="212" s="1"/>
  <c r="AM57" i="212"/>
  <c r="AL174" i="211"/>
  <c r="AN174" i="211" s="1"/>
  <c r="AM13" i="212"/>
  <c r="AQ13" i="212"/>
  <c r="AL151" i="211"/>
  <c r="AN151" i="211" s="1"/>
  <c r="AQ121" i="212"/>
  <c r="AR121" i="212" s="1"/>
  <c r="AM121" i="212"/>
  <c r="AL155" i="212"/>
  <c r="AN155" i="212" s="1"/>
  <c r="AM93" i="211"/>
  <c r="AQ93" i="211"/>
  <c r="AR93" i="211" s="1"/>
  <c r="AM63" i="211"/>
  <c r="AQ63" i="211"/>
  <c r="AR63" i="211" s="1"/>
  <c r="AM77" i="211"/>
  <c r="AQ77" i="211"/>
  <c r="AR77" i="211" s="1"/>
  <c r="AL156" i="212"/>
  <c r="AN156" i="212" s="1"/>
  <c r="AQ119" i="212"/>
  <c r="AR119" i="212" s="1"/>
  <c r="AM119" i="212"/>
  <c r="AM43" i="211"/>
  <c r="AQ43" i="211"/>
  <c r="AR43" i="211" s="1"/>
  <c r="M199" i="211"/>
  <c r="P199" i="211" s="1"/>
  <c r="AM45" i="212"/>
  <c r="AQ45" i="212"/>
  <c r="AR45" i="212" s="1"/>
  <c r="AM95" i="212"/>
  <c r="AQ95" i="212"/>
  <c r="AR95" i="212" s="1"/>
  <c r="AM43" i="212"/>
  <c r="AQ43" i="212"/>
  <c r="AR43" i="212" s="1"/>
  <c r="AQ21" i="212"/>
  <c r="AR21" i="212" s="1"/>
  <c r="AM21" i="212"/>
  <c r="M199" i="212"/>
  <c r="P199" i="212" s="1"/>
  <c r="AL164" i="212"/>
  <c r="AN164" i="212" s="1"/>
  <c r="AM125" i="212"/>
  <c r="AQ125" i="212"/>
  <c r="AR125" i="212" s="1"/>
  <c r="AL163" i="211"/>
  <c r="AN163" i="211" s="1"/>
  <c r="AQ51" i="211"/>
  <c r="AR51" i="211" s="1"/>
  <c r="AM51" i="211"/>
  <c r="AM125" i="211"/>
  <c r="AQ125" i="211"/>
  <c r="AR125" i="211" s="1"/>
  <c r="M203" i="211"/>
  <c r="P203" i="211" s="1"/>
  <c r="AM65" i="211"/>
  <c r="AQ65" i="211"/>
  <c r="AR65" i="211" s="1"/>
  <c r="AL161" i="211"/>
  <c r="AN161" i="211" s="1"/>
  <c r="AL171" i="211"/>
  <c r="AN171" i="211" s="1"/>
  <c r="AQ91" i="212"/>
  <c r="AR91" i="212" s="1"/>
  <c r="AM91" i="212"/>
  <c r="M215" i="212"/>
  <c r="P215" i="212" s="1"/>
  <c r="AL157" i="211"/>
  <c r="AN157" i="211" s="1"/>
  <c r="AM135" i="211"/>
  <c r="AQ135" i="211"/>
  <c r="AR135" i="211" s="1"/>
  <c r="AQ133" i="211"/>
  <c r="AR133" i="211" s="1"/>
  <c r="AM133" i="211"/>
  <c r="AM75" i="211"/>
  <c r="AQ75" i="211"/>
  <c r="AR75" i="211" s="1"/>
  <c r="AQ37" i="211"/>
  <c r="AR37" i="211" s="1"/>
  <c r="AM37" i="211"/>
  <c r="AM31" i="212"/>
  <c r="AQ31" i="212"/>
  <c r="AR31" i="212" s="1"/>
  <c r="M207" i="212"/>
  <c r="P207" i="212" s="1"/>
  <c r="AL173" i="212"/>
  <c r="AN173" i="212" s="1"/>
  <c r="AM61" i="212"/>
  <c r="AQ61" i="212"/>
  <c r="AR61" i="212" s="1"/>
  <c r="M208" i="212"/>
  <c r="P208" i="212" s="1"/>
  <c r="M220" i="212"/>
  <c r="P220" i="212" s="1"/>
  <c r="AL143" i="212"/>
  <c r="AM77" i="212"/>
  <c r="AQ77" i="212"/>
  <c r="AR77" i="212" s="1"/>
  <c r="AQ87" i="212"/>
  <c r="AR87" i="212" s="1"/>
  <c r="AM87" i="212"/>
  <c r="AL168" i="212"/>
  <c r="AN168" i="212" s="1"/>
  <c r="AM107" i="212"/>
  <c r="AQ107" i="212"/>
  <c r="AR107" i="212" s="1"/>
  <c r="AL153" i="212"/>
  <c r="AN153" i="212" s="1"/>
  <c r="M201" i="212"/>
  <c r="P201" i="212" s="1"/>
  <c r="M217" i="212"/>
  <c r="P217" i="212" s="1"/>
  <c r="AL163" i="212"/>
  <c r="AN163" i="212" s="1"/>
  <c r="AQ135" i="212"/>
  <c r="AR135" i="212" s="1"/>
  <c r="AM135" i="212"/>
  <c r="AL159" i="211"/>
  <c r="AN159" i="211" s="1"/>
  <c r="AL162" i="212"/>
  <c r="AN162" i="212" s="1"/>
  <c r="AM113" i="211"/>
  <c r="AQ113" i="211"/>
  <c r="AR113" i="211" s="1"/>
  <c r="AQ23" i="212"/>
  <c r="AR23" i="212" s="1"/>
  <c r="AM23" i="212"/>
  <c r="AM57" i="211"/>
  <c r="AQ57" i="211"/>
  <c r="AR57" i="211" s="1"/>
  <c r="AL170" i="212"/>
  <c r="AN170" i="212" s="1"/>
  <c r="M210" i="211"/>
  <c r="P210" i="211" s="1"/>
  <c r="M198" i="211"/>
  <c r="P198" i="211" s="1"/>
  <c r="M216" i="211"/>
  <c r="P216" i="211" s="1"/>
  <c r="M211" i="211"/>
  <c r="P211" i="211" s="1"/>
  <c r="AL151" i="212"/>
  <c r="AN151" i="212" s="1"/>
  <c r="AM23" i="211"/>
  <c r="AQ23" i="211"/>
  <c r="AR23" i="211" s="1"/>
  <c r="AM107" i="211"/>
  <c r="AQ107" i="211"/>
  <c r="AR107" i="211" s="1"/>
  <c r="AQ71" i="212"/>
  <c r="AR71" i="212" s="1"/>
  <c r="AM71" i="212"/>
  <c r="AL152" i="211"/>
  <c r="AN152" i="211" s="1"/>
  <c r="AQ33" i="211"/>
  <c r="AR33" i="211" s="1"/>
  <c r="AM33" i="211"/>
  <c r="AQ17" i="211"/>
  <c r="AR17" i="211" s="1"/>
  <c r="AM17" i="211"/>
  <c r="AL175" i="211"/>
  <c r="AN175" i="211" s="1"/>
  <c r="AN176" i="212" l="1"/>
  <c r="G148" i="212" s="1"/>
  <c r="Y148" i="212" s="1"/>
  <c r="AM148" i="212" s="1"/>
  <c r="AN176" i="211"/>
  <c r="G148" i="211" s="1"/>
  <c r="Y148" i="211" s="1"/>
  <c r="AM148" i="2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4" authorId="0" shapeId="0" xr:uid="{01B98947-299E-4CF0-BBB2-643C21D21CDE}">
      <text>
        <r>
          <rPr>
            <b/>
            <sz val="9"/>
            <color indexed="81"/>
            <rFont val="MS P ゴシック"/>
            <family val="3"/>
            <charset val="128"/>
          </rPr>
          <t>当該月の月始め日を入力してください。（例：4/1と入力すると2019/4/1と表記され、月の日数も計算されます。）</t>
        </r>
        <r>
          <rPr>
            <sz val="9"/>
            <color indexed="81"/>
            <rFont val="MS P ゴシック"/>
            <family val="3"/>
            <charset val="128"/>
          </rPr>
          <t xml:space="preserve">
</t>
        </r>
      </text>
    </comment>
    <comment ref="E4" authorId="0" shapeId="0" xr:uid="{0B755140-6C24-4E4B-BE1B-CEF41B902772}">
      <text>
        <r>
          <rPr>
            <b/>
            <sz val="9"/>
            <color indexed="81"/>
            <rFont val="MS P ゴシック"/>
            <family val="3"/>
            <charset val="128"/>
          </rPr>
          <t>施設が設定した勤務形態、時間数が表示されます。</t>
        </r>
      </text>
    </comment>
    <comment ref="G9" authorId="0" shapeId="0" xr:uid="{F56D173E-58B1-4796-9C45-41EED06C6AC1}">
      <text>
        <r>
          <rPr>
            <b/>
            <sz val="9"/>
            <color indexed="81"/>
            <rFont val="MS P ゴシック"/>
            <family val="3"/>
            <charset val="128"/>
          </rPr>
          <t>月初め日を入力すると曜日が自動で表示されます。</t>
        </r>
        <r>
          <rPr>
            <sz val="9"/>
            <color indexed="81"/>
            <rFont val="MS P ゴシック"/>
            <family val="3"/>
            <charset val="128"/>
          </rPr>
          <t xml:space="preserve">
</t>
        </r>
      </text>
    </comment>
    <comment ref="Q10" authorId="0" shapeId="0" xr:uid="{A1929456-7BDA-4E95-9B74-61D2D5347D5A}">
      <text>
        <r>
          <rPr>
            <b/>
            <sz val="9"/>
            <color indexed="81"/>
            <rFont val="MS P ゴシック"/>
            <family val="3"/>
            <charset val="128"/>
          </rPr>
          <t>施設が設定した勤務形態を選択入力すると、下段に設定した時間数が表示されます。</t>
        </r>
      </text>
    </comment>
    <comment ref="AL10" authorId="0" shapeId="0" xr:uid="{92250A73-4029-45A7-9264-8183409DD4E2}">
      <text>
        <r>
          <rPr>
            <b/>
            <sz val="9"/>
            <color indexed="81"/>
            <rFont val="MS P ゴシック"/>
            <family val="3"/>
            <charset val="128"/>
          </rPr>
          <t>月の日数分の時間数の合計が表示されます。</t>
        </r>
        <r>
          <rPr>
            <sz val="9"/>
            <color indexed="81"/>
            <rFont val="MS P ゴシック"/>
            <family val="3"/>
            <charset val="128"/>
          </rPr>
          <t xml:space="preserve">
</t>
        </r>
      </text>
    </comment>
    <comment ref="AL11" authorId="0" shapeId="0" xr:uid="{81563FA1-E882-4934-94DD-1A9EEB169A1B}">
      <text>
        <r>
          <rPr>
            <b/>
            <sz val="9"/>
            <color indexed="81"/>
            <rFont val="MS P ゴシック"/>
            <family val="3"/>
            <charset val="128"/>
          </rPr>
          <t>４週の時間数の合計が表示されます。</t>
        </r>
      </text>
    </comment>
    <comment ref="AP11" authorId="0" shapeId="0" xr:uid="{0014DACA-10BC-48A6-9562-2504137305F3}">
      <text>
        <r>
          <rPr>
            <b/>
            <sz val="9"/>
            <color indexed="81"/>
            <rFont val="MS P ゴシック"/>
            <family val="3"/>
            <charset val="128"/>
          </rPr>
          <t>常勤Ａ又はＢの場合は、「1.0」と表示されます。</t>
        </r>
      </text>
    </comment>
    <comment ref="AQ11" authorId="0" shapeId="0" xr:uid="{3B8B35EA-1252-40F9-933A-CD1FA6573338}">
      <text>
        <r>
          <rPr>
            <b/>
            <sz val="9"/>
            <color indexed="81"/>
            <rFont val="MS P ゴシック"/>
            <family val="3"/>
            <charset val="128"/>
          </rPr>
          <t>常勤・非常勤に関わらず、勤務時間数（実労働時間数）が表示されます。</t>
        </r>
      </text>
    </comment>
    <comment ref="AR11" authorId="0" shapeId="0" xr:uid="{D6601F6C-F3B3-4C5A-9E38-DDB37086B6AA}">
      <text>
        <r>
          <rPr>
            <b/>
            <sz val="9"/>
            <color indexed="81"/>
            <rFont val="MS P ゴシック"/>
            <family val="3"/>
            <charset val="128"/>
          </rPr>
          <t>非常勤Ｃ又はＤの場合は、合計時間数が表示されます。</t>
        </r>
        <r>
          <rPr>
            <sz val="9"/>
            <color indexed="81"/>
            <rFont val="MS P ゴシック"/>
            <family val="3"/>
            <charset val="128"/>
          </rPr>
          <t xml:space="preserve">
</t>
        </r>
      </text>
    </comment>
    <comment ref="D12" authorId="0" shapeId="0" xr:uid="{77525C88-8535-4C5B-B7B6-5B3F61E3A5B6}">
      <text>
        <r>
          <rPr>
            <b/>
            <sz val="9"/>
            <color indexed="81"/>
            <rFont val="MS P ゴシック"/>
            <family val="3"/>
            <charset val="128"/>
          </rPr>
          <t>このセルのタブをクリックすると、勤務形態ＡＢＣＤが表示されるので選択入力してください。</t>
        </r>
      </text>
    </comment>
    <comment ref="C14" authorId="0" shapeId="0" xr:uid="{3A80FCAF-9DE0-4D6A-B472-A8C1FE89BAE5}">
      <text>
        <r>
          <rPr>
            <b/>
            <sz val="9"/>
            <color indexed="81"/>
            <rFont val="MS P ゴシック"/>
            <family val="3"/>
            <charset val="128"/>
          </rPr>
          <t xml:space="preserve">このセルのタブをクリックすると、施設で設定した職種が表示されるので選択入力してください。
</t>
        </r>
      </text>
    </comment>
    <comment ref="B76" authorId="0" shapeId="0" xr:uid="{0785CEE9-C36B-4C8A-9B22-8B2B976C17AA}">
      <text>
        <r>
          <rPr>
            <b/>
            <sz val="9"/>
            <color indexed="81"/>
            <rFont val="MS P ゴシック"/>
            <family val="3"/>
            <charset val="128"/>
          </rPr>
          <t>34）～64）行までは非表示にしています。</t>
        </r>
      </text>
    </comment>
    <comment ref="B140" authorId="0" shapeId="0" xr:uid="{4A8426FF-AE15-4B09-B13C-D96C0C45E646}">
      <text>
        <r>
          <rPr>
            <b/>
            <sz val="9"/>
            <color indexed="81"/>
            <rFont val="MS P ゴシック"/>
            <family val="3"/>
            <charset val="128"/>
          </rPr>
          <t>65）以上作成する場合は、139行目と140行目の間に行の挿入をして、必要な行数を確保してください。</t>
        </r>
      </text>
    </comment>
    <comment ref="G142" authorId="0" shapeId="0" xr:uid="{32428AB9-731E-4821-BC97-02AEE7F2914D}">
      <text>
        <r>
          <rPr>
            <b/>
            <sz val="9"/>
            <color indexed="81"/>
            <rFont val="MS P ゴシック"/>
            <family val="3"/>
            <charset val="128"/>
          </rPr>
          <t>夜勤人員数（実人数）の計算範囲が10行目から142行目までとしているため、この行を削除しないでください。</t>
        </r>
      </text>
    </comment>
    <comment ref="AJ148" authorId="0" shapeId="0" xr:uid="{EB80E050-83B9-4EC7-AE78-4CD4C42BE3D1}">
      <text>
        <r>
          <rPr>
            <b/>
            <sz val="9"/>
            <color indexed="81"/>
            <rFont val="MS P ゴシック"/>
            <family val="3"/>
            <charset val="128"/>
          </rPr>
          <t>夜勤配置加算算定の場合に数値を入力してください。</t>
        </r>
      </text>
    </comment>
    <comment ref="AM148" authorId="0" shapeId="0" xr:uid="{33127BB5-5BE5-4208-9843-9673323D6382}">
      <text>
        <r>
          <rPr>
            <b/>
            <sz val="9"/>
            <color indexed="81"/>
            <rFont val="MS P ゴシック"/>
            <family val="3"/>
            <charset val="128"/>
          </rPr>
          <t>１日平均夜勤職員数が、必要な夜勤職員数を上回っていれば”OK”と表示されます。</t>
        </r>
      </text>
    </comment>
    <comment ref="G151" authorId="0" shapeId="0" xr:uid="{81EB9402-05F8-45CE-BFA0-06424125D102}">
      <text>
        <r>
          <rPr>
            <b/>
            <sz val="9"/>
            <color indexed="81"/>
            <rFont val="MS P ゴシック"/>
            <family val="3"/>
            <charset val="128"/>
          </rPr>
          <t>勤務形態一覧から左記勤務形態の回数が集計されます。各列・各行も同じ。</t>
        </r>
      </text>
    </comment>
    <comment ref="AM151" authorId="0" shapeId="0" xr:uid="{D5990F31-81E9-4A58-97F7-536C85A7988F}">
      <text>
        <r>
          <rPr>
            <b/>
            <sz val="9"/>
            <color indexed="81"/>
            <rFont val="MS P ゴシック"/>
            <family val="3"/>
            <charset val="128"/>
          </rPr>
          <t>勤務形態ごとの１月間の勤務時間が集計されます。</t>
        </r>
      </text>
    </comment>
    <comment ref="C192" authorId="0" shapeId="0" xr:uid="{232528F6-BA2F-4691-8D5D-D8B64B267748}">
      <text>
        <r>
          <rPr>
            <b/>
            <sz val="9"/>
            <color indexed="81"/>
            <rFont val="MS P ゴシック"/>
            <family val="3"/>
            <charset val="128"/>
          </rPr>
          <t>法人（施設）が定める常勤の従業者が勤務すべき時間数を入力してください。</t>
        </r>
      </text>
    </comment>
    <comment ref="Z192" authorId="0" shapeId="0" xr:uid="{AEB21EF7-33AA-4FE0-A9F5-C01F30B11F6A}">
      <text>
        <r>
          <rPr>
            <b/>
            <sz val="9"/>
            <color indexed="81"/>
            <rFont val="MS P ゴシック"/>
            <family val="3"/>
            <charset val="128"/>
          </rPr>
          <t>午後10時から翌日午前5時までを含む連続する16時間で施設で定めた夜勤時間帯を入力してください。</t>
        </r>
      </text>
    </comment>
    <comment ref="E196" authorId="0" shapeId="0" xr:uid="{54009CD0-C18B-450C-9A6C-5ED97568E84B}">
      <text>
        <r>
          <rPr>
            <b/>
            <sz val="9"/>
            <color indexed="81"/>
            <rFont val="MS P ゴシック"/>
            <family val="3"/>
            <charset val="128"/>
          </rPr>
          <t>施設が設定した職種を入力してください。
この欄に入力すると勤務形態一覧で選択入力できます。</t>
        </r>
      </text>
    </comment>
    <comment ref="I196" authorId="0" shapeId="0" xr:uid="{AF5FD1C9-C354-4BE7-B454-1CFE8EC2F922}">
      <text>
        <r>
          <rPr>
            <b/>
            <sz val="9"/>
            <color indexed="81"/>
            <rFont val="MS P ゴシック"/>
            <family val="3"/>
            <charset val="128"/>
          </rPr>
          <t>勤務形態一覧の①ＡＢの合計数値が表示されます。</t>
        </r>
      </text>
    </comment>
    <comment ref="K196" authorId="0" shapeId="0" xr:uid="{538DAED3-88E2-40DF-ADA0-59298D700F74}">
      <text>
        <r>
          <rPr>
            <b/>
            <sz val="9"/>
            <color indexed="81"/>
            <rFont val="MS P ゴシック"/>
            <family val="3"/>
            <charset val="128"/>
          </rPr>
          <t>勤務形態一覧の③ＣＤの合計数値が表示されます。</t>
        </r>
        <r>
          <rPr>
            <sz val="9"/>
            <color indexed="81"/>
            <rFont val="MS P ゴシック"/>
            <family val="3"/>
            <charset val="128"/>
          </rPr>
          <t xml:space="preserve">
</t>
        </r>
      </text>
    </comment>
    <comment ref="M196" authorId="0" shapeId="0" xr:uid="{7C1908DF-2CFA-4A4C-A128-2A1AA9B13583}">
      <text>
        <r>
          <rPr>
            <b/>
            <sz val="9"/>
            <color indexed="81"/>
            <rFont val="MS P ゴシック"/>
            <family val="3"/>
            <charset val="128"/>
          </rPr>
          <t>①ＡＢと③ＣＤの常勤換算数が表示されます。</t>
        </r>
      </text>
    </comment>
    <comment ref="S196" authorId="0" shapeId="0" xr:uid="{FDE26F6E-7852-49FC-88BA-570E08198416}">
      <text>
        <r>
          <rPr>
            <b/>
            <sz val="9"/>
            <color indexed="81"/>
            <rFont val="MS P ゴシック"/>
            <family val="3"/>
            <charset val="128"/>
          </rPr>
          <t>②換算（参考）は、全職種の実労働時間数の合計を表示しています。
この数値をもって人員基準が満たされているか判断するためのものではなく、例えば、人員基準は満たされているが、職員が「人員不足を感じる」といった場合などに確認するための目安です。</t>
        </r>
      </text>
    </comment>
    <comment ref="AC197" authorId="0" shapeId="0" xr:uid="{1FF006BA-0256-4259-BBD0-BE3F4025172C}">
      <text>
        <r>
          <rPr>
            <b/>
            <sz val="9"/>
            <color indexed="81"/>
            <rFont val="MS P ゴシック"/>
            <family val="3"/>
            <charset val="128"/>
          </rPr>
          <t>施設が設定した勤務形態を入力してください。
この欄に入力すると勤務形態一覧で選択入力できます。
※太い枠の夜勤と明けについては、勤務形態一覧の最終行に「看護職員・介護職員の夜勤人員数（実人数）」の集計を行えるよう設定しています。</t>
        </r>
      </text>
    </comment>
    <comment ref="AN197" authorId="0" shapeId="0" xr:uid="{BB908F62-1A65-4D1B-82CB-B4F3CB004999}">
      <text>
        <r>
          <rPr>
            <b/>
            <sz val="9"/>
            <color indexed="81"/>
            <rFont val="MS P ゴシック"/>
            <family val="3"/>
            <charset val="128"/>
          </rPr>
          <t>この欄は、勤務形態一覧の上段に表示するための情報ですので、削除・入力等行わないでください。</t>
        </r>
        <r>
          <rPr>
            <sz val="9"/>
            <color indexed="81"/>
            <rFont val="MS P ゴシック"/>
            <family val="3"/>
            <charset val="128"/>
          </rPr>
          <t xml:space="preserve">
</t>
        </r>
      </text>
    </comment>
    <comment ref="AP197" authorId="0" shapeId="0" xr:uid="{E288ADC1-6D3B-4716-8225-C6E075BEB76B}">
      <text>
        <r>
          <rPr>
            <b/>
            <sz val="9"/>
            <color indexed="81"/>
            <rFont val="MS P ゴシック"/>
            <family val="3"/>
            <charset val="128"/>
          </rPr>
          <t>左記の勤務時間帯から夜勤時間帯の時間数を入力してください。便宜上２列で入力できるようにしています。</t>
        </r>
      </text>
    </comment>
  </commentList>
</comments>
</file>

<file path=xl/sharedStrings.xml><?xml version="1.0" encoding="utf-8"?>
<sst xmlns="http://schemas.openxmlformats.org/spreadsheetml/2006/main" count="10385" uniqueCount="1800">
  <si>
    <t>（指定を受けている場合）</t>
    <rPh sb="1" eb="3">
      <t>シテイ</t>
    </rPh>
    <rPh sb="4" eb="5">
      <t>ウ</t>
    </rPh>
    <rPh sb="9" eb="11">
      <t>バアイ</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</si>
  <si>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</si>
  <si>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</si>
  <si>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</si>
  <si>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</si>
  <si>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</si>
  <si>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</si>
  <si>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</si>
  <si>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</si>
  <si>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</si>
  <si>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</si>
  <si>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</si>
  <si>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</si>
  <si>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</si>
  <si>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</si>
  <si>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</si>
  <si>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</si>
  <si>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</si>
  <si>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</si>
  <si>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</si>
  <si>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</si>
  <si>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</si>
  <si>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</si>
  <si>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</si>
  <si>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</si>
  <si>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</si>
  <si>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</si>
  <si>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</si>
  <si>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</si>
  <si>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</si>
  <si>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</si>
  <si>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</si>
  <si>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</si>
  <si>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</si>
  <si>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</si>
  <si>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</si>
  <si>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</si>
  <si>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</si>
  <si>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</si>
  <si>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</si>
  <si>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</si>
  <si>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</si>
  <si>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</si>
  <si>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</si>
  <si>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</si>
  <si>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</si>
  <si>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</si>
  <si>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</si>
  <si>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</si>
  <si>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</si>
  <si>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</si>
  <si>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</si>
  <si>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</si>
  <si>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</si>
  <si>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</si>
  <si>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事業所番号</t>
    <rPh sb="0" eb="3">
      <t>ジギョウショ</t>
    </rPh>
    <rPh sb="3" eb="5">
      <t>バンゴウ</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</si>
  <si>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</si>
  <si>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</si>
  <si>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</si>
  <si>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</si>
  <si>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</si>
  <si>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</si>
  <si>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</si>
  <si>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異動等区分</t>
  </si>
  <si>
    <t>人</t>
  </si>
  <si>
    <t>異動区分</t>
    <rPh sb="0" eb="2">
      <t>イドウ</t>
    </rPh>
    <rPh sb="2" eb="4">
      <t>クブン</t>
    </rPh>
    <phoneticPr fontId="3"/>
  </si>
  <si>
    <t>施設種別</t>
    <rPh sb="0" eb="2">
      <t>シセツ</t>
    </rPh>
    <rPh sb="2" eb="4">
      <t>シュベツ</t>
    </rPh>
    <phoneticPr fontId="3"/>
  </si>
  <si>
    <t>職　種</t>
    <rPh sb="0" eb="1">
      <t>ショク</t>
    </rPh>
    <rPh sb="2" eb="3">
      <t>タネ</t>
    </rPh>
    <phoneticPr fontId="3"/>
  </si>
  <si>
    <t>氏　名</t>
    <rPh sb="0" eb="1">
      <t>シ</t>
    </rPh>
    <rPh sb="2" eb="3">
      <t>メイ</t>
    </rPh>
    <phoneticPr fontId="3"/>
  </si>
  <si>
    <t>管 理 栄 養 士</t>
    <rPh sb="0" eb="1">
      <t>カン</t>
    </rPh>
    <rPh sb="2" eb="3">
      <t>リ</t>
    </rPh>
    <rPh sb="4" eb="5">
      <t>エイ</t>
    </rPh>
    <rPh sb="6" eb="7">
      <t>オサム</t>
    </rPh>
    <rPh sb="8" eb="9">
      <t>シ</t>
    </rPh>
    <phoneticPr fontId="3"/>
  </si>
  <si>
    <t>介護支援専門員</t>
    <rPh sb="0" eb="2">
      <t>カイゴ</t>
    </rPh>
    <rPh sb="2" eb="4">
      <t>シエン</t>
    </rPh>
    <rPh sb="4" eb="7">
      <t>センモンイン</t>
    </rPh>
    <phoneticPr fontId="3"/>
  </si>
  <si>
    <t>看　護　師</t>
    <rPh sb="0" eb="1">
      <t>ミ</t>
    </rPh>
    <rPh sb="2" eb="3">
      <t>ユズル</t>
    </rPh>
    <rPh sb="4" eb="5">
      <t>シ</t>
    </rPh>
    <phoneticPr fontId="3"/>
  </si>
  <si>
    <t>医　　　師</t>
    <rPh sb="0" eb="1">
      <t>イ</t>
    </rPh>
    <rPh sb="4" eb="5">
      <t>シ</t>
    </rPh>
    <phoneticPr fontId="3"/>
  </si>
  <si>
    <t>病院・診療所・訪問看護ステーション名</t>
    <rPh sb="0" eb="2">
      <t>ビョウイン</t>
    </rPh>
    <rPh sb="3" eb="6">
      <t>シンリョウジョ</t>
    </rPh>
    <rPh sb="7" eb="9">
      <t>ホウモン</t>
    </rPh>
    <rPh sb="9" eb="11">
      <t>カンゴ</t>
    </rPh>
    <rPh sb="17" eb="18">
      <t>メイ</t>
    </rPh>
    <phoneticPr fontId="3"/>
  </si>
  <si>
    <t>連携する病院・診療所・訪問看護ステーション</t>
    <rPh sb="0" eb="2">
      <t>レンケイ</t>
    </rPh>
    <rPh sb="4" eb="6">
      <t>ビョウイン</t>
    </rPh>
    <rPh sb="7" eb="10">
      <t>シンリョウジョ</t>
    </rPh>
    <rPh sb="11" eb="13">
      <t>ホウモン</t>
    </rPh>
    <rPh sb="13" eb="15">
      <t>カンゴ</t>
    </rPh>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</si>
  <si>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</si>
  <si>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</si>
  <si>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</si>
  <si>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</si>
  <si>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</si>
  <si>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介護予防福祉用具貸与</t>
    <rPh sb="0" eb="2">
      <t>カイゴ</t>
    </rPh>
    <rPh sb="2" eb="4">
      <t>ヨボウ</t>
    </rPh>
    <phoneticPr fontId="3"/>
  </si>
  <si>
    <t>介護予防支援</t>
    <rPh sb="0" eb="2">
      <t>カイゴ</t>
    </rPh>
    <rPh sb="2" eb="4">
      <t>ヨボウ</t>
    </rPh>
    <rPh sb="4" eb="6">
      <t>シエン</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</si>
  <si>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</si>
  <si>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</si>
  <si>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</si>
  <si>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</si>
  <si>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</si>
  <si>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</si>
  <si>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</si>
  <si>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</si>
  <si>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</si>
  <si>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</si>
  <si>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</si>
  <si>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</si>
  <si>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施 設 種 別</t>
    <rPh sb="0" eb="1">
      <t>シ</t>
    </rPh>
    <rPh sb="2" eb="3">
      <t>セツ</t>
    </rPh>
    <rPh sb="4" eb="5">
      <t>タネ</t>
    </rPh>
    <rPh sb="6" eb="7">
      <t>ベツ</t>
    </rPh>
    <phoneticPr fontId="3"/>
  </si>
  <si>
    <t>看護職員の状況</t>
    <rPh sb="0" eb="2">
      <t>カンゴ</t>
    </rPh>
    <rPh sb="2" eb="4">
      <t>ショクイン</t>
    </rPh>
    <rPh sb="5" eb="7">
      <t>ジョウキョウ</t>
    </rPh>
    <phoneticPr fontId="3"/>
  </si>
  <si>
    <t>　准看護師</t>
    <rPh sb="1" eb="2">
      <t>ジュン</t>
    </rPh>
    <phoneticPr fontId="3"/>
  </si>
  <si>
    <t>人</t>
    <rPh sb="0" eb="1">
      <t>ニン</t>
    </rPh>
    <phoneticPr fontId="3"/>
  </si>
  <si>
    <t>職員の欠員による減算の状況</t>
  </si>
  <si>
    <t>ユニットケア体制</t>
    <rPh sb="6" eb="8">
      <t>タイセイ</t>
    </rPh>
    <phoneticPr fontId="3"/>
  </si>
  <si>
    <t>常勤専従医師配置</t>
  </si>
  <si>
    <t>精神科医師定期的療養指導</t>
  </si>
  <si>
    <t>障害者生活支援体制</t>
  </si>
  <si>
    <t>　常勤換算</t>
    <rPh sb="3" eb="5">
      <t>カンサン</t>
    </rPh>
    <phoneticPr fontId="3"/>
  </si>
  <si>
    <t>看護体制加算に係る届出書</t>
    <rPh sb="0" eb="2">
      <t>カンゴ</t>
    </rPh>
    <rPh sb="2" eb="4">
      <t>タイセイ</t>
    </rPh>
    <rPh sb="4" eb="6">
      <t>カサン</t>
    </rPh>
    <rPh sb="7" eb="8">
      <t>カカ</t>
    </rPh>
    <rPh sb="9" eb="12">
      <t>トドケデショ</t>
    </rPh>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</si>
  <si>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</si>
  <si>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</si>
  <si>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定員</t>
    <rPh sb="1" eb="3">
      <t>テイイン</t>
    </rPh>
    <phoneticPr fontId="3"/>
  </si>
  <si>
    <t>　入所者数</t>
    <rPh sb="1" eb="4">
      <t>ニュウショシャ</t>
    </rPh>
    <rPh sb="4" eb="5">
      <t>スウ</t>
    </rPh>
    <phoneticPr fontId="3"/>
  </si>
  <si>
    <t>　保 健 師</t>
    <rPh sb="1" eb="2">
      <t>タモツ</t>
    </rPh>
    <rPh sb="3" eb="4">
      <t>ケン</t>
    </rPh>
    <rPh sb="5" eb="6">
      <t>シ</t>
    </rPh>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</si>
  <si>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</si>
  <si>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</si>
  <si>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事業所名</t>
    <rPh sb="0" eb="3">
      <t>ジギョウショ</t>
    </rPh>
    <rPh sb="3" eb="4">
      <t>メイ</t>
    </rPh>
    <phoneticPr fontId="3"/>
  </si>
  <si>
    <t>2　異 動 区 分</t>
    <rPh sb="2" eb="3">
      <t>イ</t>
    </rPh>
    <rPh sb="4" eb="5">
      <t>ドウ</t>
    </rPh>
    <rPh sb="6" eb="7">
      <t>ク</t>
    </rPh>
    <rPh sb="8" eb="9">
      <t>ブン</t>
    </rPh>
    <phoneticPr fontId="3"/>
  </si>
  <si>
    <t>有・無</t>
    <rPh sb="0" eb="1">
      <t>ウ</t>
    </rPh>
    <rPh sb="2" eb="3">
      <t>ム</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</si>
  <si>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</si>
  <si>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</si>
  <si>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</si>
  <si>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</si>
  <si>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</si>
  <si>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</si>
  <si>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</si>
  <si>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主たる事業所の所在地</t>
    <rPh sb="3" eb="6">
      <t>ジギョウショ</t>
    </rPh>
    <phoneticPr fontId="3"/>
  </si>
  <si>
    <t>　　3　「法人所轄庁」欄は、申請者が認可法人である場合に、その主務官庁の名称を記載してください。</t>
    <phoneticPr fontId="3"/>
  </si>
  <si>
    <t>歯科医師</t>
    <rPh sb="0" eb="2">
      <t>シカ</t>
    </rPh>
    <rPh sb="2" eb="4">
      <t>イシ</t>
    </rPh>
    <phoneticPr fontId="3"/>
  </si>
  <si>
    <t>（別紙●）</t>
    <rPh sb="1" eb="3">
      <t>ベッシ</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</si>
  <si>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</si>
  <si>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t>①に占める②の割合が７０％以上</t>
    <rPh sb="2" eb="3">
      <t>シ</t>
    </rPh>
    <rPh sb="7" eb="8">
      <t>ワリ</t>
    </rPh>
    <rPh sb="8" eb="9">
      <t>ゴウ</t>
    </rPh>
    <rPh sb="13" eb="15">
      <t>イジョウ</t>
    </rPh>
    <phoneticPr fontId="3"/>
  </si>
  <si>
    <t>①に占める③の割合が６５％以上</t>
    <rPh sb="2" eb="3">
      <t>シ</t>
    </rPh>
    <rPh sb="7" eb="8">
      <t>ワリ</t>
    </rPh>
    <rPh sb="8" eb="9">
      <t>ゴウ</t>
    </rPh>
    <rPh sb="13" eb="15">
      <t>イジョウ</t>
    </rPh>
    <phoneticPr fontId="3"/>
  </si>
  <si>
    <t>入所者総数</t>
    <rPh sb="0" eb="2">
      <t>ニュウショ</t>
    </rPh>
    <rPh sb="2" eb="3">
      <t>シャ</t>
    </rPh>
    <rPh sb="3" eb="5">
      <t>ソウスウ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</si>
  <si>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</si>
  <si>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</si>
  <si>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</si>
  <si>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</si>
  <si>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</si>
  <si>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</si>
  <si>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</si>
  <si>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</si>
  <si>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</si>
  <si>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</si>
  <si>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②</t>
    <phoneticPr fontId="3"/>
  </si>
  <si>
    <t>→</t>
    <phoneticPr fontId="3"/>
  </si>
  <si>
    <t>①</t>
    <phoneticPr fontId="3"/>
  </si>
  <si>
    <t>　常勤</t>
    <phoneticPr fontId="3"/>
  </si>
  <si>
    <t>　24時間常時連絡できる体制を整備している。</t>
    <phoneticPr fontId="3"/>
  </si>
  <si>
    <t>事 業 所 名</t>
    <phoneticPr fontId="3"/>
  </si>
  <si>
    <t>届 出 項 目</t>
    <phoneticPr fontId="3"/>
  </si>
  <si>
    <t>　看 護 師</t>
    <phoneticPr fontId="3"/>
  </si>
  <si>
    <t>③</t>
    <phoneticPr fontId="3"/>
  </si>
  <si>
    <t>1　事 業 所 名</t>
    <phoneticPr fontId="3"/>
  </si>
  <si>
    <t>④</t>
    <phoneticPr fontId="3"/>
  </si>
  <si>
    <t>⑤</t>
    <phoneticPr fontId="3"/>
  </si>
  <si>
    <t>生活機能向上連携加算</t>
    <rPh sb="0" eb="2">
      <t>セイカツ</t>
    </rPh>
    <rPh sb="2" eb="4">
      <t>キノウ</t>
    </rPh>
    <rPh sb="4" eb="6">
      <t>コウジョウ</t>
    </rPh>
    <rPh sb="6" eb="8">
      <t>レンケイ</t>
    </rPh>
    <rPh sb="8" eb="10">
      <t>カサン</t>
    </rPh>
    <phoneticPr fontId="3"/>
  </si>
  <si>
    <t>　①　24時間常時連絡できる体制を整備している。</t>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</si>
  <si>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</si>
  <si>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</si>
  <si>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</si>
  <si>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</si>
  <si>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</si>
  <si>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</si>
  <si>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</si>
  <si>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</si>
  <si>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</si>
  <si>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</si>
  <si>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</si>
  <si>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</si>
  <si>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</si>
  <si>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名　称</t>
    <rPh sb="0" eb="1">
      <t>ナ</t>
    </rPh>
    <rPh sb="2" eb="3">
      <t>ショウ</t>
    </rPh>
    <phoneticPr fontId="3"/>
  </si>
  <si>
    <t>用　途</t>
    <rPh sb="0" eb="1">
      <t>ヨウ</t>
    </rPh>
    <rPh sb="2" eb="3">
      <t>ト</t>
    </rPh>
    <phoneticPr fontId="3"/>
  </si>
  <si>
    <t>認知症専門ケア加算</t>
  </si>
  <si>
    <t>① 入所（利用）者数</t>
    <rPh sb="2" eb="4">
      <t>ニュウショ</t>
    </rPh>
    <rPh sb="5" eb="7">
      <t>リヨウ</t>
    </rPh>
    <rPh sb="8" eb="9">
      <t>シャ</t>
    </rPh>
    <rPh sb="9" eb="10">
      <t>スウ</t>
    </rPh>
    <phoneticPr fontId="3"/>
  </si>
  <si>
    <t>③ ①に占める②の割合</t>
    <rPh sb="4" eb="5">
      <t>シ</t>
    </rPh>
    <rPh sb="9" eb="11">
      <t>ワリアイ</t>
    </rPh>
    <phoneticPr fontId="3"/>
  </si>
  <si>
    <t>→　</t>
    <phoneticPr fontId="3"/>
  </si>
  <si>
    <t>④ 導入機器</t>
    <rPh sb="2" eb="4">
      <t>ドウニュウ</t>
    </rPh>
    <rPh sb="4" eb="6">
      <t>キキ</t>
    </rPh>
    <phoneticPr fontId="3"/>
  </si>
  <si>
    <t>　</t>
    <phoneticPr fontId="3"/>
  </si>
  <si>
    <t>製造事業者</t>
    <rPh sb="0" eb="2">
      <t>セイゾウ</t>
    </rPh>
    <rPh sb="2" eb="5">
      <t>ジギョウシャ</t>
    </rPh>
    <phoneticPr fontId="3"/>
  </si>
  <si>
    <t>⑤ 導入機器の継続的な使用（９週間以上）</t>
    <rPh sb="7" eb="9">
      <t>ケイゾク</t>
    </rPh>
    <rPh sb="9" eb="10">
      <t>テキ</t>
    </rPh>
    <rPh sb="11" eb="13">
      <t>シヨウ</t>
    </rPh>
    <rPh sb="15" eb="17">
      <t>シュウカン</t>
    </rPh>
    <rPh sb="17" eb="19">
      <t>イジョウ</t>
    </rPh>
    <phoneticPr fontId="3"/>
  </si>
  <si>
    <t>夜間勤務条件基準</t>
    <rPh sb="0" eb="2">
      <t>ヤカン</t>
    </rPh>
    <rPh sb="2" eb="4">
      <t>キンム</t>
    </rPh>
    <rPh sb="4" eb="6">
      <t>ジョウケン</t>
    </rPh>
    <rPh sb="6" eb="8">
      <t>キジュン</t>
    </rPh>
    <phoneticPr fontId="3"/>
  </si>
  <si>
    <t>日常生活継続支援加算</t>
  </si>
  <si>
    <t>看護体制加算Ⅰ</t>
  </si>
  <si>
    <t>看護体制加算Ⅱ</t>
  </si>
  <si>
    <t>夜勤職員配置加算</t>
    <rPh sb="0" eb="2">
      <t>ヤキン</t>
    </rPh>
    <rPh sb="2" eb="4">
      <t>ショクイン</t>
    </rPh>
    <rPh sb="4" eb="6">
      <t>ハイチ</t>
    </rPh>
    <rPh sb="6" eb="7">
      <t>カ</t>
    </rPh>
    <rPh sb="7" eb="8">
      <t>サン</t>
    </rPh>
    <phoneticPr fontId="3"/>
  </si>
  <si>
    <t>準ユニットケア体制</t>
  </si>
  <si>
    <t>身体拘束廃止取組の有無</t>
    <rPh sb="0" eb="2">
      <t>シンタイ</t>
    </rPh>
    <rPh sb="2" eb="4">
      <t>コウソク</t>
    </rPh>
    <rPh sb="4" eb="6">
      <t>ハイシ</t>
    </rPh>
    <rPh sb="6" eb="8">
      <t>トリクミ</t>
    </rPh>
    <rPh sb="9" eb="11">
      <t>ウム</t>
    </rPh>
    <phoneticPr fontId="3"/>
  </si>
  <si>
    <t>療養食加算</t>
    <rPh sb="0" eb="2">
      <t>リョウヨウ</t>
    </rPh>
    <rPh sb="2" eb="3">
      <t>ショク</t>
    </rPh>
    <rPh sb="3" eb="4">
      <t>カ</t>
    </rPh>
    <rPh sb="4" eb="5">
      <t>サン</t>
    </rPh>
    <phoneticPr fontId="3"/>
  </si>
  <si>
    <t>配置医師緊急時対応加算</t>
    <rPh sb="0" eb="2">
      <t>ハイチ</t>
    </rPh>
    <rPh sb="2" eb="4">
      <t>イシ</t>
    </rPh>
    <rPh sb="4" eb="7">
      <t>キンキュウジ</t>
    </rPh>
    <rPh sb="7" eb="9">
      <t>タイオウ</t>
    </rPh>
    <rPh sb="9" eb="11">
      <t>カサン</t>
    </rPh>
    <phoneticPr fontId="3"/>
  </si>
  <si>
    <t>看取り介護体制</t>
  </si>
  <si>
    <t>在宅・入所相互利用体制</t>
  </si>
  <si>
    <t>褥瘡マネジメント加算</t>
    <rPh sb="0" eb="2">
      <t>ジョクソウ</t>
    </rPh>
    <rPh sb="8" eb="10">
      <t>カサン</t>
    </rPh>
    <phoneticPr fontId="3"/>
  </si>
  <si>
    <t>サービス提供体制強化加算</t>
    <rPh sb="4" eb="6">
      <t>テイキョウ</t>
    </rPh>
    <rPh sb="6" eb="8">
      <t>タイセイ</t>
    </rPh>
    <rPh sb="8" eb="10">
      <t>キョウカ</t>
    </rPh>
    <rPh sb="10" eb="11">
      <t>カ</t>
    </rPh>
    <rPh sb="11" eb="12">
      <t>サン</t>
    </rPh>
    <phoneticPr fontId="3"/>
  </si>
  <si>
    <t>褥瘡マネジメントに関する届出書</t>
    <phoneticPr fontId="3"/>
  </si>
  <si>
    <t>加算等の種類</t>
    <rPh sb="0" eb="2">
      <t>カサン</t>
    </rPh>
    <rPh sb="2" eb="3">
      <t>トウ</t>
    </rPh>
    <rPh sb="4" eb="6">
      <t>シュルイ</t>
    </rPh>
    <phoneticPr fontId="3"/>
  </si>
  <si>
    <t>別紙</t>
    <phoneticPr fontId="3"/>
  </si>
  <si>
    <t>番号</t>
    <rPh sb="0" eb="2">
      <t>バンゴウ</t>
    </rPh>
    <phoneticPr fontId="3"/>
  </si>
  <si>
    <t>□</t>
  </si>
  <si>
    <t>□</t>
    <phoneticPr fontId="3"/>
  </si>
  <si>
    <t>■</t>
    <phoneticPr fontId="3"/>
  </si>
  <si>
    <t>介護給付費算定に係る体制等状況一覧表</t>
    <phoneticPr fontId="3"/>
  </si>
  <si>
    <t>）</t>
    <phoneticPr fontId="3"/>
  </si>
  <si>
    <t>　</t>
    <phoneticPr fontId="3"/>
  </si>
  <si>
    <t>　</t>
    <phoneticPr fontId="3"/>
  </si>
  <si>
    <t>各種加算における必要な添付書類一覧（介護職員処遇改善加算は除く）</t>
    <rPh sb="0" eb="2">
      <t>カクシュ</t>
    </rPh>
    <rPh sb="29" eb="30">
      <t>ノゾ</t>
    </rPh>
    <phoneticPr fontId="3"/>
  </si>
  <si>
    <t>●</t>
  </si>
  <si>
    <t>従業者の勤務の体制及び勤務形態一覧表</t>
    <phoneticPr fontId="3"/>
  </si>
  <si>
    <t>●</t>
    <phoneticPr fontId="3"/>
  </si>
  <si>
    <t>特養01</t>
    <rPh sb="0" eb="2">
      <t>トクヨウ</t>
    </rPh>
    <phoneticPr fontId="3"/>
  </si>
  <si>
    <t>特養02</t>
    <rPh sb="0" eb="2">
      <t>トクヨウ</t>
    </rPh>
    <phoneticPr fontId="3"/>
  </si>
  <si>
    <t>特養03</t>
    <rPh sb="0" eb="2">
      <t>トクヨウ</t>
    </rPh>
    <phoneticPr fontId="3"/>
  </si>
  <si>
    <t>特養04</t>
    <rPh sb="0" eb="2">
      <t>トクヨウ</t>
    </rPh>
    <phoneticPr fontId="3"/>
  </si>
  <si>
    <t>特養05</t>
    <rPh sb="0" eb="2">
      <t>トクヨウ</t>
    </rPh>
    <phoneticPr fontId="3"/>
  </si>
  <si>
    <t>特養06</t>
    <rPh sb="0" eb="2">
      <t>トクヨウ</t>
    </rPh>
    <phoneticPr fontId="3"/>
  </si>
  <si>
    <t>特養07</t>
    <rPh sb="0" eb="2">
      <t>トクヨウ</t>
    </rPh>
    <phoneticPr fontId="3"/>
  </si>
  <si>
    <t>特養08</t>
    <rPh sb="0" eb="2">
      <t>トクヨウ</t>
    </rPh>
    <phoneticPr fontId="3"/>
  </si>
  <si>
    <t>特養09</t>
    <rPh sb="0" eb="2">
      <t>トクヨウ</t>
    </rPh>
    <phoneticPr fontId="3"/>
  </si>
  <si>
    <t>特養10</t>
    <rPh sb="0" eb="2">
      <t>トクヨウ</t>
    </rPh>
    <phoneticPr fontId="3"/>
  </si>
  <si>
    <t>特養11</t>
    <rPh sb="0" eb="2">
      <t>トクヨウ</t>
    </rPh>
    <phoneticPr fontId="3"/>
  </si>
  <si>
    <t>特養12</t>
    <rPh sb="0" eb="2">
      <t>トクヨウ</t>
    </rPh>
    <phoneticPr fontId="3"/>
  </si>
  <si>
    <t>特養13</t>
    <rPh sb="0" eb="2">
      <t>トクヨウ</t>
    </rPh>
    <phoneticPr fontId="3"/>
  </si>
  <si>
    <t>特養14</t>
    <rPh sb="0" eb="2">
      <t>トクヨウ</t>
    </rPh>
    <phoneticPr fontId="3"/>
  </si>
  <si>
    <t>特養15</t>
    <rPh sb="0" eb="2">
      <t>トクヨウ</t>
    </rPh>
    <phoneticPr fontId="3"/>
  </si>
  <si>
    <t>特養16</t>
    <rPh sb="0" eb="2">
      <t>トクヨウ</t>
    </rPh>
    <phoneticPr fontId="3"/>
  </si>
  <si>
    <t>特養17</t>
    <rPh sb="0" eb="2">
      <t>トクヨウ</t>
    </rPh>
    <phoneticPr fontId="3"/>
  </si>
  <si>
    <t>特養18</t>
    <rPh sb="0" eb="2">
      <t>トクヨウ</t>
    </rPh>
    <phoneticPr fontId="3"/>
  </si>
  <si>
    <t>特養19</t>
    <rPh sb="0" eb="2">
      <t>トクヨウ</t>
    </rPh>
    <phoneticPr fontId="3"/>
  </si>
  <si>
    <t>特養20</t>
    <rPh sb="0" eb="2">
      <t>トクヨウ</t>
    </rPh>
    <phoneticPr fontId="3"/>
  </si>
  <si>
    <t>特養21</t>
    <rPh sb="0" eb="2">
      <t>トクヨウ</t>
    </rPh>
    <phoneticPr fontId="3"/>
  </si>
  <si>
    <t>特養22</t>
    <rPh sb="0" eb="2">
      <t>トクヨウ</t>
    </rPh>
    <phoneticPr fontId="3"/>
  </si>
  <si>
    <t>特養23</t>
    <rPh sb="0" eb="2">
      <t>トクヨウ</t>
    </rPh>
    <phoneticPr fontId="3"/>
  </si>
  <si>
    <t>特養24</t>
    <rPh sb="0" eb="2">
      <t>トクヨウ</t>
    </rPh>
    <phoneticPr fontId="3"/>
  </si>
  <si>
    <t>●</t>
    <phoneticPr fontId="3"/>
  </si>
  <si>
    <t>配置医師又は協力医療機関と施設の間での具体的な取り決めが分かる書類。</t>
    <rPh sb="0" eb="2">
      <t>ハイチ</t>
    </rPh>
    <rPh sb="2" eb="4">
      <t>イシ</t>
    </rPh>
    <rPh sb="4" eb="5">
      <t>マタ</t>
    </rPh>
    <rPh sb="6" eb="8">
      <t>キョウリョク</t>
    </rPh>
    <rPh sb="8" eb="10">
      <t>イリョウ</t>
    </rPh>
    <rPh sb="10" eb="12">
      <t>キカン</t>
    </rPh>
    <rPh sb="13" eb="15">
      <t>シセツ</t>
    </rPh>
    <rPh sb="16" eb="17">
      <t>アイダ</t>
    </rPh>
    <rPh sb="19" eb="22">
      <t>グタイテキ</t>
    </rPh>
    <rPh sb="23" eb="24">
      <t>ト</t>
    </rPh>
    <rPh sb="25" eb="26">
      <t>キ</t>
    </rPh>
    <rPh sb="28" eb="29">
      <t>ワ</t>
    </rPh>
    <rPh sb="31" eb="33">
      <t>ショルイ</t>
    </rPh>
    <phoneticPr fontId="3"/>
  </si>
  <si>
    <t>◎</t>
  </si>
  <si>
    <t>◎</t>
    <phoneticPr fontId="3"/>
  </si>
  <si>
    <t>備考欄（その他の書類など）</t>
    <rPh sb="0" eb="2">
      <t>ビコウ</t>
    </rPh>
    <rPh sb="2" eb="3">
      <t>ラン</t>
    </rPh>
    <rPh sb="6" eb="7">
      <t>タ</t>
    </rPh>
    <rPh sb="8" eb="10">
      <t>ショルイ</t>
    </rPh>
    <phoneticPr fontId="3"/>
  </si>
  <si>
    <t>◎勤務形態一覧は、機能訓練指導員分</t>
    <phoneticPr fontId="3"/>
  </si>
  <si>
    <t>◎勤務形態一覧は、看護職員分</t>
    <phoneticPr fontId="3"/>
  </si>
  <si>
    <t>◎勤務形態一覧は、医師分</t>
    <phoneticPr fontId="3"/>
  </si>
  <si>
    <t>【指定介護老人福祉施設】</t>
    <rPh sb="1" eb="3">
      <t>シテイ</t>
    </rPh>
    <rPh sb="3" eb="5">
      <t>カイゴ</t>
    </rPh>
    <phoneticPr fontId="3"/>
  </si>
  <si>
    <t>管理者</t>
    <rPh sb="0" eb="2">
      <t>カンリ</t>
    </rPh>
    <rPh sb="2" eb="3">
      <t>シャ</t>
    </rPh>
    <phoneticPr fontId="3"/>
  </si>
  <si>
    <t>※</t>
    <phoneticPr fontId="3"/>
  </si>
  <si>
    <t>名　称</t>
    <phoneticPr fontId="3"/>
  </si>
  <si>
    <t>代表者の職・氏名</t>
    <phoneticPr fontId="3"/>
  </si>
  <si>
    <t>このことについて、関係書類を添えて以下のとおり届け出ます。</t>
    <phoneticPr fontId="3"/>
  </si>
  <si>
    <t>フリガナ</t>
    <phoneticPr fontId="3"/>
  </si>
  <si>
    <t>指定（許可）</t>
    <rPh sb="0" eb="2">
      <t>シテイ</t>
    </rPh>
    <rPh sb="3" eb="5">
      <t>キョカ</t>
    </rPh>
    <phoneticPr fontId="3"/>
  </si>
  <si>
    <t>3終了</t>
    <phoneticPr fontId="3"/>
  </si>
  <si>
    <t>2変更</t>
    <phoneticPr fontId="3"/>
  </si>
  <si>
    <t>訪問看護</t>
  </si>
  <si>
    <t>居宅療養管理指導</t>
  </si>
  <si>
    <t>短期入所療養介護</t>
  </si>
  <si>
    <t>特定施設入居者生活介護</t>
    <rPh sb="5" eb="6">
      <t>キョ</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</si>
  <si>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</si>
  <si>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</si>
  <si>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</si>
  <si>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</si>
  <si>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</si>
  <si>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</si>
  <si>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通所ﾘﾊﾋﾞﾘﾃｰｼｮﾝ</t>
  </si>
  <si>
    <t>介護医療院</t>
    <rPh sb="0" eb="2">
      <t>カイゴ</t>
    </rPh>
    <rPh sb="2" eb="4">
      <t>イリョウ</t>
    </rPh>
    <rPh sb="4" eb="5">
      <t>イン</t>
    </rPh>
    <phoneticPr fontId="3"/>
  </si>
  <si>
    <t>(郵便番号</t>
    <phoneticPr fontId="3"/>
  </si>
  <si>
    <t>ー</t>
    <phoneticPr fontId="3"/>
  </si>
  <si>
    <t>月</t>
    <rPh sb="0" eb="1">
      <t>ゲツ</t>
    </rPh>
    <phoneticPr fontId="3"/>
  </si>
  <si>
    <t>介護給付費算定に係る体制等に関する届出【介護老人福祉施設（特別養護老人ホーム）】</t>
    <rPh sb="0" eb="2">
      <t>カイゴ</t>
    </rPh>
    <rPh sb="2" eb="4">
      <t>キュウフ</t>
    </rPh>
    <rPh sb="4" eb="5">
      <t>ヒ</t>
    </rPh>
    <rPh sb="5" eb="7">
      <t>サンテイ</t>
    </rPh>
    <rPh sb="8" eb="9">
      <t>カカ</t>
    </rPh>
    <rPh sb="10" eb="12">
      <t>タイセイ</t>
    </rPh>
    <rPh sb="12" eb="13">
      <t>トウ</t>
    </rPh>
    <rPh sb="14" eb="15">
      <t>カン</t>
    </rPh>
    <rPh sb="17" eb="19">
      <t>トドケデ</t>
    </rPh>
    <rPh sb="20" eb="22">
      <t>カイゴ</t>
    </rPh>
    <rPh sb="22" eb="24">
      <t>ロウジン</t>
    </rPh>
    <rPh sb="24" eb="26">
      <t>フクシ</t>
    </rPh>
    <rPh sb="26" eb="28">
      <t>シセツ</t>
    </rPh>
    <rPh sb="29" eb="31">
      <t>トクベツ</t>
    </rPh>
    <rPh sb="31" eb="33">
      <t>ヨウゴ</t>
    </rPh>
    <rPh sb="33" eb="35">
      <t>ロウジン</t>
    </rPh>
    <phoneticPr fontId="3"/>
  </si>
  <si>
    <t>※（平成１２年３月８日老企第４１号 厚生省老人保健福祉局企画課長通知）</t>
  </si>
  <si>
    <t>　指定居宅サービスに要する費用の額の算定に関する基準、指定居宅介護支援に要する費用の額の算定に関する基準、指定施設サービス等に要する費用の額の算定に関する基準、指定介護予防サービスに要する費用の額の算定に関する基準、指定介護予防支援に要する費用の額の算定に関する基準、指定地域密着型サービスに要する費用の額の算定に関する基準及び指定地域密着型介護予防サービスに要する費用の額の算定に関する基準の制定に伴う介護給付費算定に係る体制等に関する届出等における留意点について</t>
    <phoneticPr fontId="3"/>
  </si>
  <si>
    <t>サービス種別</t>
  </si>
  <si>
    <t>届出先</t>
  </si>
  <si>
    <t>算定時期</t>
  </si>
  <si>
    <t>介護事業者課</t>
  </si>
  <si>
    <t>０６－６９４４－７０９５</t>
  </si>
  <si>
    <t>施設指導グループ</t>
  </si>
  <si>
    <t>０６－６９４４－７１０６</t>
  </si>
  <si>
    <t>特定施設入居者生活介護</t>
  </si>
  <si>
    <t>(介護予防特定施設入居者生活介護)</t>
  </si>
  <si>
    <t>(介護予防短期入所生活介護)</t>
  </si>
  <si>
    <t>単独型</t>
  </si>
  <si>
    <t>特養以外の併設型</t>
  </si>
  <si>
    <t>(介護予防短期入所療養介護)</t>
  </si>
  <si>
    <t>介護老人保健施設</t>
  </si>
  <si>
    <t>その他</t>
  </si>
  <si>
    <t>※緊急時(介護予防)訪問看護加算除く</t>
  </si>
  <si>
    <t>訪問看護</t>
    <phoneticPr fontId="3"/>
  </si>
  <si>
    <t>(介護予防訪問看護)</t>
    <phoneticPr fontId="3"/>
  </si>
  <si>
    <t>訪問ﾘﾊﾋﾞﾘﾃｰｼｮﾝ</t>
    <phoneticPr fontId="3"/>
  </si>
  <si>
    <t>福祉用具貸与</t>
    <phoneticPr fontId="3"/>
  </si>
  <si>
    <t>(介護予防福祉用具貸与)</t>
    <phoneticPr fontId="3"/>
  </si>
  <si>
    <t>※緊急時(介護予防)訪問看護加算</t>
    <phoneticPr fontId="3"/>
  </si>
  <si>
    <t>訪問看護</t>
    <phoneticPr fontId="3"/>
  </si>
  <si>
    <t>(介護予防訪問看護)</t>
    <phoneticPr fontId="3"/>
  </si>
  <si>
    <t>(介護予防通所ﾘﾊﾋﾞﾘﾃｰｼｮﾝ)</t>
    <phoneticPr fontId="3"/>
  </si>
  <si>
    <t>訪問入浴介護</t>
    <phoneticPr fontId="3"/>
  </si>
  <si>
    <t>(介護予防訪問入浴介護)</t>
    <phoneticPr fontId="3"/>
  </si>
  <si>
    <t>届出受理日が</t>
    <rPh sb="0" eb="2">
      <t>トドケデ</t>
    </rPh>
    <rPh sb="2" eb="4">
      <t>ジュリ</t>
    </rPh>
    <rPh sb="4" eb="5">
      <t>ヒ</t>
    </rPh>
    <phoneticPr fontId="3"/>
  </si>
  <si>
    <t>届出が受理された月の翌月からの算定</t>
    <rPh sb="0" eb="2">
      <t>トドケデ</t>
    </rPh>
    <rPh sb="3" eb="5">
      <t>ジュリ</t>
    </rPh>
    <rPh sb="8" eb="9">
      <t>ツキ</t>
    </rPh>
    <rPh sb="10" eb="11">
      <t>ヨク</t>
    </rPh>
    <rPh sb="11" eb="12">
      <t>ツキ</t>
    </rPh>
    <rPh sb="15" eb="17">
      <t>サンテイ</t>
    </rPh>
    <phoneticPr fontId="3"/>
  </si>
  <si>
    <t>届出を受理した日からの算定</t>
    <phoneticPr fontId="3"/>
  </si>
  <si>
    <t>（届出を受理した日が月の初日である場合はその月から）</t>
    <rPh sb="1" eb="3">
      <t>トドケデ</t>
    </rPh>
    <rPh sb="4" eb="6">
      <t>ジュリ</t>
    </rPh>
    <rPh sb="8" eb="9">
      <t>ヒ</t>
    </rPh>
    <rPh sb="10" eb="11">
      <t>ツキ</t>
    </rPh>
    <rPh sb="12" eb="14">
      <t>ショニチ</t>
    </rPh>
    <rPh sb="17" eb="19">
      <t>バアイ</t>
    </rPh>
    <rPh sb="22" eb="23">
      <t>ツキ</t>
    </rPh>
    <phoneticPr fontId="3"/>
  </si>
  <si>
    <t>　毎月15日以前の場合→翌月からの算定</t>
    <rPh sb="5" eb="6">
      <t>ヒ</t>
    </rPh>
    <rPh sb="6" eb="8">
      <t>イゼン</t>
    </rPh>
    <rPh sb="9" eb="11">
      <t>バアイ</t>
    </rPh>
    <rPh sb="12" eb="14">
      <t>ヨクゲツ</t>
    </rPh>
    <rPh sb="17" eb="19">
      <t>サンテイ</t>
    </rPh>
    <phoneticPr fontId="3"/>
  </si>
  <si>
    <t>　毎月16日以降の場合→翌々月からの算定</t>
    <rPh sb="5" eb="6">
      <t>ヒ</t>
    </rPh>
    <rPh sb="6" eb="8">
      <t>イコウ</t>
    </rPh>
    <rPh sb="9" eb="11">
      <t>バアイ</t>
    </rPh>
    <rPh sb="12" eb="14">
      <t>ヨクヨク</t>
    </rPh>
    <rPh sb="14" eb="15">
      <t>ツキ</t>
    </rPh>
    <rPh sb="18" eb="20">
      <t>サンテイ</t>
    </rPh>
    <phoneticPr fontId="3"/>
  </si>
  <si>
    <t>介護給付費算定に係る体制等に関する手続きについて</t>
    <rPh sb="17" eb="19">
      <t>テツヅ</t>
    </rPh>
    <phoneticPr fontId="3"/>
  </si>
  <si>
    <t>（2）加算の取り下げや人員欠如による減算等の場合</t>
    <rPh sb="3" eb="5">
      <t>カサン</t>
    </rPh>
    <rPh sb="6" eb="7">
      <t>ト</t>
    </rPh>
    <rPh sb="8" eb="9">
      <t>サ</t>
    </rPh>
    <rPh sb="11" eb="13">
      <t>ジンイン</t>
    </rPh>
    <rPh sb="13" eb="15">
      <t>ケツジョ</t>
    </rPh>
    <rPh sb="18" eb="20">
      <t>ゲンサン</t>
    </rPh>
    <rPh sb="20" eb="21">
      <t>トウ</t>
    </rPh>
    <rPh sb="22" eb="24">
      <t>バアイ</t>
    </rPh>
    <phoneticPr fontId="3"/>
  </si>
  <si>
    <t>事前に連絡の上、速やかに上記（1）の届出先に提出してください。</t>
    <rPh sb="0" eb="2">
      <t>ジゼン</t>
    </rPh>
    <rPh sb="3" eb="5">
      <t>レンラク</t>
    </rPh>
    <rPh sb="6" eb="7">
      <t>ウエ</t>
    </rPh>
    <rPh sb="8" eb="9">
      <t>スミ</t>
    </rPh>
    <rPh sb="12" eb="14">
      <t>ジョウキ</t>
    </rPh>
    <rPh sb="18" eb="20">
      <t>トドケデ</t>
    </rPh>
    <rPh sb="20" eb="21">
      <t>サキ</t>
    </rPh>
    <rPh sb="22" eb="24">
      <t>テイシュツ</t>
    </rPh>
    <phoneticPr fontId="3"/>
  </si>
  <si>
    <t>介護老人福祉施設（特別養護老人ホーム）併設型</t>
    <phoneticPr fontId="3"/>
  </si>
  <si>
    <t>介護老人福祉施設（特別養護老人ホーム）</t>
    <phoneticPr fontId="3"/>
  </si>
  <si>
    <t>介護保険施設</t>
    <rPh sb="0" eb="2">
      <t>カイゴ</t>
    </rPh>
    <rPh sb="2" eb="4">
      <t>ホケン</t>
    </rPh>
    <rPh sb="4" eb="6">
      <t>シセツ</t>
    </rPh>
    <phoneticPr fontId="3"/>
  </si>
  <si>
    <t>（１）新たに加算を算定する場合、加算等の内容が変更（区分変更を含む）になる場合</t>
    <rPh sb="3" eb="4">
      <t>アラ</t>
    </rPh>
    <rPh sb="6" eb="8">
      <t>カサン</t>
    </rPh>
    <rPh sb="9" eb="11">
      <t>サンテイ</t>
    </rPh>
    <rPh sb="13" eb="15">
      <t>バアイ</t>
    </rPh>
    <rPh sb="16" eb="18">
      <t>カサン</t>
    </rPh>
    <rPh sb="18" eb="19">
      <t>トウ</t>
    </rPh>
    <rPh sb="20" eb="22">
      <t>ナイヨウ</t>
    </rPh>
    <rPh sb="23" eb="25">
      <t>ヘンコウ</t>
    </rPh>
    <rPh sb="26" eb="28">
      <t>クブン</t>
    </rPh>
    <rPh sb="28" eb="30">
      <t>ヘンコウ</t>
    </rPh>
    <rPh sb="31" eb="32">
      <t>フク</t>
    </rPh>
    <rPh sb="37" eb="39">
      <t>バアイ</t>
    </rPh>
    <phoneticPr fontId="3"/>
  </si>
  <si>
    <t xml:space="preserve">届出先及び算定時期について </t>
    <phoneticPr fontId="3"/>
  </si>
  <si>
    <t>介護給付費算定に係る体制等に関する届出の受理通知の取扱いについて</t>
    <rPh sb="0" eb="2">
      <t>カイゴ</t>
    </rPh>
    <rPh sb="2" eb="4">
      <t>キュウフ</t>
    </rPh>
    <rPh sb="4" eb="5">
      <t>ヒ</t>
    </rPh>
    <rPh sb="5" eb="7">
      <t>サンテイ</t>
    </rPh>
    <rPh sb="8" eb="9">
      <t>カカ</t>
    </rPh>
    <rPh sb="10" eb="12">
      <t>タイセイ</t>
    </rPh>
    <rPh sb="12" eb="13">
      <t>トウ</t>
    </rPh>
    <rPh sb="14" eb="15">
      <t>カン</t>
    </rPh>
    <rPh sb="17" eb="19">
      <t>トドケデ</t>
    </rPh>
    <rPh sb="20" eb="22">
      <t>ジュリ</t>
    </rPh>
    <rPh sb="22" eb="24">
      <t>ツウチ</t>
    </rPh>
    <rPh sb="25" eb="27">
      <t>トリアツカ</t>
    </rPh>
    <phoneticPr fontId="3"/>
  </si>
  <si>
    <t>　　〇介護給付費算定に係る体制等に関する届出書（別紙２）控え1枚</t>
    <rPh sb="3" eb="5">
      <t>カイゴ</t>
    </rPh>
    <rPh sb="5" eb="7">
      <t>キュウフ</t>
    </rPh>
    <rPh sb="7" eb="8">
      <t>ヒ</t>
    </rPh>
    <rPh sb="8" eb="10">
      <t>サンテイ</t>
    </rPh>
    <rPh sb="11" eb="12">
      <t>カカ</t>
    </rPh>
    <rPh sb="13" eb="15">
      <t>タイセイ</t>
    </rPh>
    <rPh sb="15" eb="16">
      <t>トウ</t>
    </rPh>
    <rPh sb="17" eb="18">
      <t>カン</t>
    </rPh>
    <rPh sb="20" eb="23">
      <t>トドケデショ</t>
    </rPh>
    <rPh sb="24" eb="26">
      <t>ベッシ</t>
    </rPh>
    <rPh sb="28" eb="29">
      <t>ヒカ</t>
    </rPh>
    <rPh sb="31" eb="32">
      <t>マイ</t>
    </rPh>
    <phoneticPr fontId="3"/>
  </si>
  <si>
    <t>【届出を収受した記録を希望する場合】</t>
    <phoneticPr fontId="3"/>
  </si>
  <si>
    <t>　介護給付費算定に係る体制等に関する届出の受理通知については、令和元年８月１日付けの届出分から交付しないことになりました。届出を収受した記録を希望する場合は、来庁受付の際に、内容審査のうえ、控えに収受印を押印します。</t>
    <rPh sb="31" eb="33">
      <t>レイワ</t>
    </rPh>
    <rPh sb="33" eb="35">
      <t>ガンネン</t>
    </rPh>
    <rPh sb="36" eb="37">
      <t>ガツ</t>
    </rPh>
    <rPh sb="38" eb="39">
      <t>ヒ</t>
    </rPh>
    <rPh sb="39" eb="40">
      <t>ツ</t>
    </rPh>
    <rPh sb="42" eb="44">
      <t>トドケデ</t>
    </rPh>
    <rPh sb="44" eb="45">
      <t>ブン</t>
    </rPh>
    <rPh sb="47" eb="49">
      <t>コウフ</t>
    </rPh>
    <rPh sb="61" eb="63">
      <t>トドケデ</t>
    </rPh>
    <rPh sb="79" eb="81">
      <t>ライチョウ</t>
    </rPh>
    <rPh sb="81" eb="83">
      <t>ウケツケ</t>
    </rPh>
    <rPh sb="84" eb="85">
      <t>サイ</t>
    </rPh>
    <rPh sb="87" eb="89">
      <t>ナイヨウ</t>
    </rPh>
    <rPh sb="89" eb="91">
      <t>シンサ</t>
    </rPh>
    <rPh sb="95" eb="96">
      <t>ヒカ</t>
    </rPh>
    <rPh sb="98" eb="100">
      <t>シュウジュ</t>
    </rPh>
    <rPh sb="100" eb="101">
      <t>イン</t>
    </rPh>
    <rPh sb="102" eb="104">
      <t>オウイン</t>
    </rPh>
    <phoneticPr fontId="3"/>
  </si>
  <si>
    <t>　介護給付費算定に係る体制（介護報酬加算等）に関する情報は、居宅サービス計画・介護予防サービス計画の作成や介護報酬の審査・支払いの際に必要な情報であり、これらの適用を受け介護報酬を算定するためには、事前の届出が必要となります。加算等の算定要件を十分に確認したうえで届出してください。</t>
    <rPh sb="113" eb="115">
      <t>カサン</t>
    </rPh>
    <rPh sb="115" eb="116">
      <t>トウ</t>
    </rPh>
    <rPh sb="117" eb="119">
      <t>サンテイ</t>
    </rPh>
    <rPh sb="119" eb="121">
      <t>ヨウケン</t>
    </rPh>
    <rPh sb="122" eb="124">
      <t>ジュウブン</t>
    </rPh>
    <rPh sb="125" eb="127">
      <t>カクニン</t>
    </rPh>
    <rPh sb="132" eb="134">
      <t>トドケデ</t>
    </rPh>
    <phoneticPr fontId="3"/>
  </si>
  <si>
    <t>※収受印を押印した届出書の控えは、届出を収受した日付の記録です。届出にある加算が算定できることを証明するものではありません。</t>
    <rPh sb="1" eb="3">
      <t>シュウジュ</t>
    </rPh>
    <rPh sb="3" eb="4">
      <t>イン</t>
    </rPh>
    <rPh sb="5" eb="7">
      <t>オウイン</t>
    </rPh>
    <rPh sb="9" eb="12">
      <t>トドケデショ</t>
    </rPh>
    <rPh sb="13" eb="14">
      <t>ヒカ</t>
    </rPh>
    <rPh sb="17" eb="19">
      <t>トドケデ</t>
    </rPh>
    <rPh sb="20" eb="22">
      <t>シュウジュ</t>
    </rPh>
    <rPh sb="24" eb="26">
      <t>ヒヅケ</t>
    </rPh>
    <rPh sb="27" eb="29">
      <t>キロク</t>
    </rPh>
    <rPh sb="32" eb="34">
      <t>トドケデ</t>
    </rPh>
    <rPh sb="37" eb="39">
      <t>カサン</t>
    </rPh>
    <rPh sb="40" eb="42">
      <t>サンテイ</t>
    </rPh>
    <rPh sb="48" eb="50">
      <t>ショウメイ</t>
    </rPh>
    <phoneticPr fontId="3"/>
  </si>
  <si>
    <t>※届出を収受した以降、必要に応じて書類の補正や追加書類の提出を求める場合があります。</t>
    <rPh sb="1" eb="3">
      <t>トドケデ</t>
    </rPh>
    <rPh sb="4" eb="6">
      <t>シュウジュ</t>
    </rPh>
    <rPh sb="8" eb="10">
      <t>イコウ</t>
    </rPh>
    <rPh sb="11" eb="13">
      <t>ヒツヨウ</t>
    </rPh>
    <rPh sb="14" eb="15">
      <t>オウ</t>
    </rPh>
    <rPh sb="17" eb="19">
      <t>ショルイ</t>
    </rPh>
    <rPh sb="20" eb="22">
      <t>ホセイ</t>
    </rPh>
    <rPh sb="23" eb="25">
      <t>ツイカ</t>
    </rPh>
    <rPh sb="25" eb="27">
      <t>ショルイ</t>
    </rPh>
    <rPh sb="28" eb="30">
      <t>テイシュツ</t>
    </rPh>
    <rPh sb="31" eb="32">
      <t>モト</t>
    </rPh>
    <rPh sb="34" eb="36">
      <t>バアイ</t>
    </rPh>
    <phoneticPr fontId="3"/>
  </si>
  <si>
    <t>令和</t>
    <rPh sb="0" eb="2">
      <t>レイワ</t>
    </rPh>
    <phoneticPr fontId="3"/>
  </si>
  <si>
    <t>施 設 名 称</t>
    <rPh sb="0" eb="1">
      <t>シ</t>
    </rPh>
    <rPh sb="2" eb="3">
      <t>セツ</t>
    </rPh>
    <rPh sb="4" eb="5">
      <t>ナ</t>
    </rPh>
    <rPh sb="6" eb="7">
      <t>ショウ</t>
    </rPh>
    <phoneticPr fontId="3"/>
  </si>
  <si>
    <t>①施　　設</t>
    <rPh sb="1" eb="2">
      <t>シ</t>
    </rPh>
    <rPh sb="4" eb="5">
      <t>セツ</t>
    </rPh>
    <phoneticPr fontId="3"/>
  </si>
  <si>
    <t>定員</t>
    <rPh sb="0" eb="2">
      <t>テイイン</t>
    </rPh>
    <phoneticPr fontId="3"/>
  </si>
  <si>
    <t>前年度平均</t>
    <rPh sb="0" eb="3">
      <t>ゼンネンド</t>
    </rPh>
    <rPh sb="3" eb="5">
      <t>ヘイキン</t>
    </rPh>
    <phoneticPr fontId="3"/>
  </si>
  <si>
    <t>従来型</t>
    <rPh sb="0" eb="2">
      <t>ジュウライ</t>
    </rPh>
    <rPh sb="2" eb="3">
      <t>ガタ</t>
    </rPh>
    <phoneticPr fontId="3"/>
  </si>
  <si>
    <t>ユニット型</t>
    <rPh sb="4" eb="5">
      <t>ガタ</t>
    </rPh>
    <phoneticPr fontId="3"/>
  </si>
  <si>
    <t>②短期入所</t>
    <rPh sb="1" eb="3">
      <t>タンキ</t>
    </rPh>
    <rPh sb="3" eb="5">
      <t>ニュウショ</t>
    </rPh>
    <phoneticPr fontId="3"/>
  </si>
  <si>
    <t>空床型</t>
    <phoneticPr fontId="3"/>
  </si>
  <si>
    <t>併設型</t>
    <phoneticPr fontId="3"/>
  </si>
  <si>
    <t>③合　　計</t>
    <rPh sb="1" eb="2">
      <t>ア</t>
    </rPh>
    <rPh sb="4" eb="5">
      <t>ケイ</t>
    </rPh>
    <phoneticPr fontId="3"/>
  </si>
  <si>
    <t>※併設の場合</t>
    <rPh sb="1" eb="3">
      <t>ヘイセツ</t>
    </rPh>
    <rPh sb="4" eb="6">
      <t>バアイ</t>
    </rPh>
    <phoneticPr fontId="3"/>
  </si>
  <si>
    <t>職　　種</t>
    <rPh sb="0" eb="1">
      <t>ショク</t>
    </rPh>
    <rPh sb="3" eb="4">
      <t>タネ</t>
    </rPh>
    <phoneticPr fontId="3"/>
  </si>
  <si>
    <t>基　　準</t>
    <rPh sb="0" eb="1">
      <t>モト</t>
    </rPh>
    <rPh sb="3" eb="4">
      <t>ジュン</t>
    </rPh>
    <phoneticPr fontId="3"/>
  </si>
  <si>
    <t>基準人員</t>
    <rPh sb="0" eb="2">
      <t>キジュン</t>
    </rPh>
    <rPh sb="2" eb="4">
      <t>ジンイン</t>
    </rPh>
    <phoneticPr fontId="3"/>
  </si>
  <si>
    <t>実人員</t>
    <rPh sb="0" eb="1">
      <t>ジツ</t>
    </rPh>
    <rPh sb="1" eb="3">
      <t>ジンイン</t>
    </rPh>
    <phoneticPr fontId="3"/>
  </si>
  <si>
    <t>備　　考</t>
    <rPh sb="0" eb="1">
      <t>ソナエ</t>
    </rPh>
    <rPh sb="3" eb="4">
      <t>コウ</t>
    </rPh>
    <phoneticPr fontId="3"/>
  </si>
  <si>
    <t>（常勤換算）</t>
    <phoneticPr fontId="3"/>
  </si>
  <si>
    <t>生活相談員</t>
    <phoneticPr fontId="3"/>
  </si>
  <si>
    <t>入所者の数が100又はその端数を増すごとに１以上</t>
    <phoneticPr fontId="3"/>
  </si>
  <si>
    <t>※③合計より計算</t>
    <phoneticPr fontId="3"/>
  </si>
  <si>
    <t>看護・介護</t>
  </si>
  <si>
    <t>↓</t>
    <phoneticPr fontId="3"/>
  </si>
  <si>
    <t>人</t>
    <rPh sb="0" eb="1">
      <t>ヒト</t>
    </rPh>
    <phoneticPr fontId="3"/>
  </si>
  <si>
    <t xml:space="preserve">30以下：常勤換算で１以上
</t>
    <phoneticPr fontId="3"/>
  </si>
  <si>
    <t>31～50：常勤換算で２以上
　</t>
    <phoneticPr fontId="3"/>
  </si>
  <si>
    <t>51～130：常勤換算で３以上
　</t>
    <phoneticPr fontId="3"/>
  </si>
  <si>
    <t>131以上：常勤換算３＋130を超えて50又はその端数を増すごとに１以上
　</t>
    <phoneticPr fontId="3"/>
  </si>
  <si>
    <t>131以上：</t>
    <rPh sb="3" eb="5">
      <t>イジョウ</t>
    </rPh>
    <phoneticPr fontId="3"/>
  </si>
  <si>
    <t>131～180：常勤換算で3+1</t>
    <rPh sb="8" eb="10">
      <t>ジョウキン</t>
    </rPh>
    <rPh sb="10" eb="12">
      <t>カンサン</t>
    </rPh>
    <phoneticPr fontId="3"/>
  </si>
  <si>
    <t>181～230：常勤換算で3+2</t>
    <rPh sb="8" eb="10">
      <t>ジョウキン</t>
    </rPh>
    <rPh sb="10" eb="12">
      <t>カンサン</t>
    </rPh>
    <phoneticPr fontId="3"/>
  </si>
  <si>
    <t>230～281：常勤換算で3+3</t>
    <rPh sb="8" eb="10">
      <t>ジョウキン</t>
    </rPh>
    <rPh sb="10" eb="12">
      <t>カンサン</t>
    </rPh>
    <phoneticPr fontId="3"/>
  </si>
  <si>
    <t>※①施設より計算</t>
    <rPh sb="2" eb="4">
      <t>シセツ</t>
    </rPh>
    <phoneticPr fontId="3"/>
  </si>
  <si>
    <t>管理栄養士・栄養士</t>
    <phoneticPr fontId="3"/>
  </si>
  <si>
    <t>１以上</t>
  </si>
  <si>
    <t>※③合計より計算</t>
    <phoneticPr fontId="3"/>
  </si>
  <si>
    <t>機能訓練指導員</t>
  </si>
  <si>
    <t>介護支援専門員</t>
  </si>
  <si>
    <t>1以上（入所者の数が100又はその端数を増すごとに１を標準）</t>
    <phoneticPr fontId="3"/>
  </si>
  <si>
    <t>夜勤職員</t>
  </si>
  <si>
    <t>従来</t>
  </si>
  <si>
    <t>26～60：２以上</t>
    <phoneticPr fontId="3"/>
  </si>
  <si>
    <t>特養入所者と短期利用者の合計数に対しての配置が必要。
夜勤職員配置加算を算定している場合は、常勤換算で左記基準＋１以上必要</t>
    <phoneticPr fontId="3"/>
  </si>
  <si>
    <t>61～80：３以上</t>
    <phoneticPr fontId="3"/>
  </si>
  <si>
    <t>81～100：４以上</t>
    <phoneticPr fontId="3"/>
  </si>
  <si>
    <t>101～：25又はその端数を増すごとに１加えた数以上</t>
    <phoneticPr fontId="3"/>
  </si>
  <si>
    <t>101以上：</t>
    <rPh sb="3" eb="5">
      <t>イジョウ</t>
    </rPh>
    <phoneticPr fontId="3"/>
  </si>
  <si>
    <t>101～125：常勤換算で4+1</t>
    <rPh sb="8" eb="10">
      <t>ジョウキン</t>
    </rPh>
    <rPh sb="10" eb="12">
      <t>カンサン</t>
    </rPh>
    <phoneticPr fontId="3"/>
  </si>
  <si>
    <t>126～150：常勤換算で4+2</t>
    <rPh sb="8" eb="10">
      <t>ジョウキン</t>
    </rPh>
    <rPh sb="10" eb="12">
      <t>カンサン</t>
    </rPh>
    <phoneticPr fontId="3"/>
  </si>
  <si>
    <t>151～175：常勤換算で4+3</t>
    <rPh sb="8" eb="10">
      <t>ジョウキン</t>
    </rPh>
    <rPh sb="10" eb="12">
      <t>カンサン</t>
    </rPh>
    <phoneticPr fontId="3"/>
  </si>
  <si>
    <t>ユニット</t>
  </si>
  <si>
    <t>２ユニットごとに１以上</t>
  </si>
  <si>
    <t>【</t>
    <phoneticPr fontId="3"/>
  </si>
  <si>
    <t>※人員基準は、前年度の平均値に対する配置（定員や現在の入所者数に対する配置ではない）がこの表では定員で算出（目安）</t>
    <rPh sb="45" eb="46">
      <t>ヒョウ</t>
    </rPh>
    <rPh sb="48" eb="50">
      <t>テイイン</t>
    </rPh>
    <rPh sb="51" eb="53">
      <t>サンシュツ</t>
    </rPh>
    <rPh sb="54" eb="56">
      <t>メヤス</t>
    </rPh>
    <phoneticPr fontId="3"/>
  </si>
  <si>
    <t>施設名</t>
    <rPh sb="0" eb="2">
      <t>シセツ</t>
    </rPh>
    <rPh sb="2" eb="3">
      <t>メイ</t>
    </rPh>
    <phoneticPr fontId="3"/>
  </si>
  <si>
    <t>区分</t>
    <rPh sb="0" eb="2">
      <t>クブン</t>
    </rPh>
    <phoneticPr fontId="3"/>
  </si>
  <si>
    <t>夜勤時間帯</t>
    <rPh sb="0" eb="2">
      <t>ヤキン</t>
    </rPh>
    <rPh sb="2" eb="5">
      <t>ジカンタイ</t>
    </rPh>
    <phoneticPr fontId="3"/>
  </si>
  <si>
    <t>計算月</t>
    <rPh sb="0" eb="2">
      <t>ケイサン</t>
    </rPh>
    <rPh sb="2" eb="3">
      <t>ツキ</t>
    </rPh>
    <phoneticPr fontId="3"/>
  </si>
  <si>
    <t>１　夜勤を行う看護職員又は介護職員の数（１日平均夜勤職員数）</t>
    <phoneticPr fontId="3"/>
  </si>
  <si>
    <t>時間</t>
    <rPh sb="0" eb="2">
      <t>ジカン</t>
    </rPh>
    <phoneticPr fontId="3"/>
  </si>
  <si>
    <t>←</t>
    <phoneticPr fontId="3"/>
  </si>
  <si>
    <t>計算月における看護職員又は介護職員の延夜勤時間数</t>
  </si>
  <si>
    <t>月の日数（イ）</t>
    <rPh sb="0" eb="1">
      <t>ツキ</t>
    </rPh>
    <rPh sb="2" eb="4">
      <t>ニッスウ</t>
    </rPh>
    <phoneticPr fontId="3"/>
  </si>
  <si>
    <t>日</t>
    <rPh sb="0" eb="1">
      <t>ニチ</t>
    </rPh>
    <phoneticPr fontId="3"/>
  </si>
  <si>
    <t>←</t>
    <phoneticPr fontId="3"/>
  </si>
  <si>
    <t>暦月（２８～３１日）</t>
    <rPh sb="0" eb="1">
      <t>コヨミ</t>
    </rPh>
    <rPh sb="1" eb="2">
      <t>ツキ</t>
    </rPh>
    <rPh sb="8" eb="9">
      <t>ニチ</t>
    </rPh>
    <phoneticPr fontId="3"/>
  </si>
  <si>
    <t>１日平均夜勤職員数（ウ）</t>
    <phoneticPr fontId="3"/>
  </si>
  <si>
    <t>２　夜勤職員基準</t>
    <rPh sb="2" eb="4">
      <t>ヤキン</t>
    </rPh>
    <rPh sb="4" eb="6">
      <t>ショクイン</t>
    </rPh>
    <rPh sb="6" eb="8">
      <t>キジュン</t>
    </rPh>
    <phoneticPr fontId="3"/>
  </si>
  <si>
    <t>＜夜勤職員基準＞</t>
    <rPh sb="1" eb="3">
      <t>ヤキン</t>
    </rPh>
    <rPh sb="3" eb="5">
      <t>ショクイン</t>
    </rPh>
    <rPh sb="5" eb="7">
      <t>キジュン</t>
    </rPh>
    <phoneticPr fontId="3"/>
  </si>
  <si>
    <t>２ユニット毎に１名</t>
    <rPh sb="5" eb="6">
      <t>ゴト</t>
    </rPh>
    <rPh sb="8" eb="9">
      <t>メイ</t>
    </rPh>
    <phoneticPr fontId="3"/>
  </si>
  <si>
    <t>２５以下</t>
    <rPh sb="2" eb="4">
      <t>イカ</t>
    </rPh>
    <phoneticPr fontId="3"/>
  </si>
  <si>
    <t>１</t>
    <phoneticPr fontId="3"/>
  </si>
  <si>
    <t>２６～６０</t>
    <phoneticPr fontId="3"/>
  </si>
  <si>
    <t>２</t>
    <phoneticPr fontId="3"/>
  </si>
  <si>
    <t>＋</t>
    <phoneticPr fontId="3"/>
  </si>
  <si>
    <t>１</t>
    <phoneticPr fontId="3"/>
  </si>
  <si>
    <t>＝</t>
    <phoneticPr fontId="3"/>
  </si>
  <si>
    <t>（エ）</t>
    <phoneticPr fontId="3"/>
  </si>
  <si>
    <t>６１～８０</t>
    <phoneticPr fontId="3"/>
  </si>
  <si>
    <t>３</t>
    <phoneticPr fontId="3"/>
  </si>
  <si>
    <t>８１～１００</t>
    <phoneticPr fontId="3"/>
  </si>
  <si>
    <t>４</t>
    <phoneticPr fontId="3"/>
  </si>
  <si>
    <t>１０１～</t>
    <phoneticPr fontId="3"/>
  </si>
  <si>
    <t>４＋（入居者の数－１００）÷２５</t>
    <rPh sb="3" eb="6">
      <t>ニュウキョシャ</t>
    </rPh>
    <rPh sb="7" eb="8">
      <t>カズ</t>
    </rPh>
    <phoneticPr fontId="3"/>
  </si>
  <si>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rPh sb="1" eb="3">
      <t>カイゴ</t>
    </rPh>
    <rPh sb="3" eb="5">
      <t>ロウジン</t>
    </rPh>
    <rPh sb="5" eb="7">
      <t>フクシ</t>
    </rPh>
    <rPh sb="7" eb="9">
      <t>シセツ</t>
    </rPh>
    <rPh sb="10" eb="12">
      <t>バアイ</t>
    </rPh>
    <rPh sb="14" eb="16">
      <t>カイゴ</t>
    </rPh>
    <rPh sb="16" eb="18">
      <t>ロウジン</t>
    </rPh>
    <rPh sb="18" eb="20">
      <t>フクシ</t>
    </rPh>
    <rPh sb="20" eb="22">
      <t>シセツ</t>
    </rPh>
    <rPh sb="23" eb="26">
      <t>ニュウショシャ</t>
    </rPh>
    <rPh sb="26" eb="27">
      <t>カズ</t>
    </rPh>
    <rPh sb="28" eb="30">
      <t>ヘイセツ</t>
    </rPh>
    <rPh sb="30" eb="31">
      <t>マタ</t>
    </rPh>
    <rPh sb="32" eb="33">
      <t>ソラ</t>
    </rPh>
    <rPh sb="33" eb="34">
      <t>ショウ</t>
    </rPh>
    <rPh sb="34" eb="36">
      <t>リヨウ</t>
    </rPh>
    <rPh sb="37" eb="39">
      <t>タンキ</t>
    </rPh>
    <rPh sb="39" eb="41">
      <t>ニュウショ</t>
    </rPh>
    <rPh sb="41" eb="43">
      <t>セイカツ</t>
    </rPh>
    <rPh sb="43" eb="45">
      <t>カイゴ</t>
    </rPh>
    <rPh sb="46" eb="49">
      <t>リヨウシャ</t>
    </rPh>
    <rPh sb="49" eb="50">
      <t>スウ</t>
    </rPh>
    <rPh sb="51" eb="53">
      <t>ゴウケイ</t>
    </rPh>
    <rPh sb="55" eb="57">
      <t>カイゴ</t>
    </rPh>
    <rPh sb="57" eb="59">
      <t>ロウジン</t>
    </rPh>
    <rPh sb="59" eb="61">
      <t>フクシ</t>
    </rPh>
    <rPh sb="61" eb="63">
      <t>シセツ</t>
    </rPh>
    <rPh sb="63" eb="65">
      <t>イガイ</t>
    </rPh>
    <rPh sb="66" eb="68">
      <t>シセツ</t>
    </rPh>
    <rPh sb="69" eb="71">
      <t>ヘイセツ</t>
    </rPh>
    <rPh sb="75" eb="77">
      <t>タンキ</t>
    </rPh>
    <rPh sb="77" eb="79">
      <t>ニュウショ</t>
    </rPh>
    <rPh sb="79" eb="81">
      <t>セイカツ</t>
    </rPh>
    <rPh sb="81" eb="83">
      <t>カイゴ</t>
    </rPh>
    <rPh sb="83" eb="86">
      <t>ジギョウショ</t>
    </rPh>
    <rPh sb="86" eb="87">
      <t>オヨ</t>
    </rPh>
    <rPh sb="88" eb="91">
      <t>タンドクガタ</t>
    </rPh>
    <rPh sb="91" eb="93">
      <t>タンキ</t>
    </rPh>
    <rPh sb="93" eb="95">
      <t>ニュウショ</t>
    </rPh>
    <rPh sb="95" eb="97">
      <t>セイカツ</t>
    </rPh>
    <rPh sb="97" eb="99">
      <t>カイゴ</t>
    </rPh>
    <rPh sb="99" eb="102">
      <t>ジギョウショ</t>
    </rPh>
    <rPh sb="103" eb="105">
      <t>バアイ</t>
    </rPh>
    <rPh sb="107" eb="109">
      <t>タンキ</t>
    </rPh>
    <rPh sb="109" eb="111">
      <t>ニュウショ</t>
    </rPh>
    <rPh sb="111" eb="113">
      <t>セイカツ</t>
    </rPh>
    <rPh sb="113" eb="115">
      <t>カイゴ</t>
    </rPh>
    <rPh sb="116" eb="118">
      <t>リヨウ</t>
    </rPh>
    <rPh sb="118" eb="119">
      <t>シャ</t>
    </rPh>
    <rPh sb="119" eb="120">
      <t>スウ</t>
    </rPh>
    <phoneticPr fontId="3"/>
  </si>
  <si>
    <t>※２　職員数</t>
    <rPh sb="3" eb="6">
      <t>ショクインスウ</t>
    </rPh>
    <phoneticPr fontId="3"/>
  </si>
  <si>
    <t>：介護老人福祉施設以外の施設に併設している短期入所生活介護事業所の場合は、当該職員数に併設本体施設として必要とされる夜勤職員の数を加えてください。</t>
    <rPh sb="1" eb="3">
      <t>カイゴ</t>
    </rPh>
    <rPh sb="3" eb="5">
      <t>ロウジン</t>
    </rPh>
    <rPh sb="5" eb="7">
      <t>フクシ</t>
    </rPh>
    <rPh sb="7" eb="9">
      <t>シセツ</t>
    </rPh>
    <rPh sb="9" eb="11">
      <t>イガイ</t>
    </rPh>
    <rPh sb="12" eb="14">
      <t>シセツ</t>
    </rPh>
    <rPh sb="15" eb="17">
      <t>ヘイセツ</t>
    </rPh>
    <rPh sb="21" eb="23">
      <t>タンキ</t>
    </rPh>
    <rPh sb="23" eb="25">
      <t>ニュウショ</t>
    </rPh>
    <rPh sb="25" eb="27">
      <t>セイカツ</t>
    </rPh>
    <rPh sb="27" eb="29">
      <t>カイゴ</t>
    </rPh>
    <rPh sb="29" eb="32">
      <t>ジギョウショ</t>
    </rPh>
    <rPh sb="33" eb="35">
      <t>バアイ</t>
    </rPh>
    <rPh sb="37" eb="39">
      <t>トウガイ</t>
    </rPh>
    <rPh sb="39" eb="42">
      <t>ショクインスウ</t>
    </rPh>
    <rPh sb="43" eb="45">
      <t>ヘイセツ</t>
    </rPh>
    <rPh sb="45" eb="47">
      <t>ホンタイ</t>
    </rPh>
    <rPh sb="47" eb="49">
      <t>シセツ</t>
    </rPh>
    <rPh sb="52" eb="54">
      <t>ヒツヨウ</t>
    </rPh>
    <rPh sb="58" eb="60">
      <t>ヤキン</t>
    </rPh>
    <rPh sb="60" eb="62">
      <t>ショクイン</t>
    </rPh>
    <rPh sb="63" eb="64">
      <t>カズ</t>
    </rPh>
    <rPh sb="65" eb="66">
      <t>クワ</t>
    </rPh>
    <phoneticPr fontId="3"/>
  </si>
  <si>
    <t>１日平均夜勤職員数（ウ）</t>
    <phoneticPr fontId="3"/>
  </si>
  <si>
    <t>＞</t>
    <phoneticPr fontId="3"/>
  </si>
  <si>
    <t>　　　</t>
    <phoneticPr fontId="3"/>
  </si>
  <si>
    <t>時</t>
    <rPh sb="0" eb="1">
      <t>ジ</t>
    </rPh>
    <phoneticPr fontId="3"/>
  </si>
  <si>
    <t>分</t>
    <rPh sb="0" eb="1">
      <t>フン</t>
    </rPh>
    <phoneticPr fontId="3"/>
  </si>
  <si>
    <t>～</t>
    <phoneticPr fontId="3"/>
  </si>
  <si>
    <t>翌朝</t>
    <rPh sb="0" eb="2">
      <t>ヨクアサ</t>
    </rPh>
    <phoneticPr fontId="3"/>
  </si>
  <si>
    <t>（１６時間）　←施設が決める午後１０時から午前５時を含む連続する１６時間</t>
    <phoneticPr fontId="3"/>
  </si>
  <si>
    <t>　</t>
    <phoneticPr fontId="3"/>
  </si>
  <si>
    <t>職員数※２</t>
    <rPh sb="0" eb="2">
      <t>ショクイン</t>
    </rPh>
    <rPh sb="2" eb="3">
      <t>スウ</t>
    </rPh>
    <phoneticPr fontId="3"/>
  </si>
  <si>
    <t>□</t>
    <phoneticPr fontId="3"/>
  </si>
  <si>
    <t>従来型</t>
    <rPh sb="0" eb="3">
      <t>ジュウライガタ</t>
    </rPh>
    <phoneticPr fontId="3"/>
  </si>
  <si>
    <t>ユニット型</t>
    <phoneticPr fontId="3"/>
  </si>
  <si>
    <t>※（ア）の算定根拠を別途記録しておいてください。</t>
    <phoneticPr fontId="3"/>
  </si>
  <si>
    <t>←　</t>
    <phoneticPr fontId="3"/>
  </si>
  <si>
    <r>
      <t>（ア）／（（イ）×１６時間）</t>
    </r>
    <r>
      <rPr>
        <sz val="10"/>
        <color indexed="10"/>
        <rFont val="HGPｺﾞｼｯｸM"/>
        <family val="3"/>
        <charset val="128"/>
      </rPr>
      <t>※小数点第３位以下切捨て</t>
    </r>
    <phoneticPr fontId="3"/>
  </si>
  <si>
    <r>
      <t>計算月の延夜勤時間数（ア）</t>
    </r>
    <r>
      <rPr>
        <sz val="10"/>
        <color indexed="10"/>
        <rFont val="HGPｺﾞｼｯｸM"/>
        <family val="3"/>
        <charset val="128"/>
      </rPr>
      <t>※</t>
    </r>
    <rPh sb="0" eb="2">
      <t>ケイサン</t>
    </rPh>
    <rPh sb="2" eb="3">
      <t>ツキ</t>
    </rPh>
    <rPh sb="4" eb="5">
      <t>ノ</t>
    </rPh>
    <rPh sb="5" eb="7">
      <t>ヤキン</t>
    </rPh>
    <rPh sb="7" eb="9">
      <t>ジカン</t>
    </rPh>
    <rPh sb="9" eb="10">
      <t>スウ</t>
    </rPh>
    <phoneticPr fontId="3"/>
  </si>
  <si>
    <t>入所（入居者）の数</t>
    <rPh sb="0" eb="2">
      <t>ニュウショ</t>
    </rPh>
    <rPh sb="3" eb="6">
      <t>ニュウキョシャ</t>
    </rPh>
    <rPh sb="8" eb="9">
      <t>カズ</t>
    </rPh>
    <phoneticPr fontId="3"/>
  </si>
  <si>
    <t>入所者（入居者）の数※１</t>
    <rPh sb="0" eb="3">
      <t>ニュウショシャ</t>
    </rPh>
    <rPh sb="4" eb="7">
      <t>ニュウキョシャ</t>
    </rPh>
    <rPh sb="9" eb="10">
      <t>カズ</t>
    </rPh>
    <phoneticPr fontId="3"/>
  </si>
  <si>
    <t>※１　入所者（入居者）の数</t>
    <rPh sb="3" eb="6">
      <t>ニュウショシャ</t>
    </rPh>
    <rPh sb="7" eb="10">
      <t>ニュウキョシャ</t>
    </rPh>
    <rPh sb="12" eb="13">
      <t>カズ</t>
    </rPh>
    <phoneticPr fontId="3"/>
  </si>
  <si>
    <t>３　夜勤職員配置加算算定</t>
    <rPh sb="2" eb="4">
      <t>ヤキン</t>
    </rPh>
    <rPh sb="4" eb="6">
      <t>ショクイン</t>
    </rPh>
    <rPh sb="6" eb="8">
      <t>ハイチ</t>
    </rPh>
    <rPh sb="8" eb="10">
      <t>カサン</t>
    </rPh>
    <rPh sb="10" eb="12">
      <t>サンテイ</t>
    </rPh>
    <phoneticPr fontId="3"/>
  </si>
  <si>
    <t>医師</t>
    <phoneticPr fontId="3"/>
  </si>
  <si>
    <t>うち管理栄養士</t>
    <phoneticPr fontId="3"/>
  </si>
  <si>
    <t>入所者に対し健康管理及び療養上の指導を行うために必要な数</t>
    <rPh sb="0" eb="3">
      <t>ニュウショシャ</t>
    </rPh>
    <rPh sb="4" eb="5">
      <t>タイ</t>
    </rPh>
    <phoneticPr fontId="3"/>
  </si>
  <si>
    <t>うち看護師</t>
    <phoneticPr fontId="3"/>
  </si>
  <si>
    <t>特養入所者と短期利用者の合計数に対しての配置が必要。
原則、常勤の者。ただし1人を超えて配置されている生活相談員が時間帯を明確に区分したうえで他の職務に従事する場合はこの限りでない。</t>
    <rPh sb="27" eb="29">
      <t>ゲンソク</t>
    </rPh>
    <rPh sb="30" eb="32">
      <t>ジョウキン</t>
    </rPh>
    <rPh sb="33" eb="34">
      <t>モノ</t>
    </rPh>
    <rPh sb="39" eb="40">
      <t>ニン</t>
    </rPh>
    <rPh sb="41" eb="42">
      <t>コ</t>
    </rPh>
    <rPh sb="44" eb="46">
      <t>ハイチ</t>
    </rPh>
    <rPh sb="51" eb="53">
      <t>セイカツ</t>
    </rPh>
    <rPh sb="53" eb="56">
      <t>ソウダンイン</t>
    </rPh>
    <rPh sb="57" eb="59">
      <t>ジカン</t>
    </rPh>
    <rPh sb="59" eb="60">
      <t>タイ</t>
    </rPh>
    <rPh sb="61" eb="63">
      <t>メイカク</t>
    </rPh>
    <rPh sb="64" eb="66">
      <t>クブン</t>
    </rPh>
    <rPh sb="71" eb="72">
      <t>ホカ</t>
    </rPh>
    <rPh sb="73" eb="75">
      <t>ショクム</t>
    </rPh>
    <rPh sb="76" eb="78">
      <t>ジュウジ</t>
    </rPh>
    <rPh sb="80" eb="82">
      <t>バアイ</t>
    </rPh>
    <rPh sb="85" eb="86">
      <t>カギ</t>
    </rPh>
    <phoneticPr fontId="3"/>
  </si>
  <si>
    <t>常勤専従で１以上（支障がなければ同一敷地内の他の事業所、施設又はサテライト施設の職務に従事可）</t>
    <phoneticPr fontId="3"/>
  </si>
  <si>
    <t>看護職員のうち、1人以上は、常勤の者</t>
    <rPh sb="0" eb="2">
      <t>カンゴ</t>
    </rPh>
    <rPh sb="2" eb="4">
      <t>ショクイン</t>
    </rPh>
    <rPh sb="9" eb="10">
      <t>ニン</t>
    </rPh>
    <rPh sb="10" eb="12">
      <t>イジョウ</t>
    </rPh>
    <rPh sb="14" eb="16">
      <t>ジョウキン</t>
    </rPh>
    <rPh sb="17" eb="18">
      <t>モノ</t>
    </rPh>
    <phoneticPr fontId="3"/>
  </si>
  <si>
    <t>看護職員と兼務でも可。個別機能訓練加算を算定している場合は、常勤専従で配置が必要。</t>
    <phoneticPr fontId="3"/>
  </si>
  <si>
    <t>専らその職務に従事する常勤の者でなければならない。ただし、入所者の処遇に支障がない場合は、他の職務に従事可能</t>
    <rPh sb="0" eb="1">
      <t>モッパ</t>
    </rPh>
    <rPh sb="4" eb="6">
      <t>ショクム</t>
    </rPh>
    <rPh sb="7" eb="9">
      <t>ジュウジ</t>
    </rPh>
    <rPh sb="11" eb="13">
      <t>ジョウキン</t>
    </rPh>
    <rPh sb="14" eb="15">
      <t>モノ</t>
    </rPh>
    <rPh sb="29" eb="32">
      <t>ニュウショシャ</t>
    </rPh>
    <rPh sb="33" eb="35">
      <t>ショグウ</t>
    </rPh>
    <rPh sb="36" eb="38">
      <t>シショウ</t>
    </rPh>
    <rPh sb="41" eb="43">
      <t>バアイ</t>
    </rPh>
    <rPh sb="45" eb="46">
      <t>ホカ</t>
    </rPh>
    <rPh sb="47" eb="49">
      <t>ショクム</t>
    </rPh>
    <rPh sb="50" eb="52">
      <t>ジュウジ</t>
    </rPh>
    <rPh sb="52" eb="54">
      <t>カノウ</t>
    </rPh>
    <phoneticPr fontId="3"/>
  </si>
  <si>
    <t>ユニット】÷２</t>
    <phoneticPr fontId="3"/>
  </si>
  <si>
    <t>他の職務に従事することができる。</t>
    <rPh sb="0" eb="1">
      <t>ホカ</t>
    </rPh>
    <rPh sb="2" eb="4">
      <t>ショクム</t>
    </rPh>
    <rPh sb="5" eb="7">
      <t>ジュウジ</t>
    </rPh>
    <phoneticPr fontId="3"/>
  </si>
  <si>
    <t>常勤換算方法で、入所者の数が3又はその端数を増すごとに1以上</t>
    <rPh sb="4" eb="6">
      <t>ホウホウ</t>
    </rPh>
    <phoneticPr fontId="3"/>
  </si>
  <si>
    <t>看護：</t>
    <rPh sb="0" eb="2">
      <t>カンゴ</t>
    </rPh>
    <phoneticPr fontId="3"/>
  </si>
  <si>
    <t>介護：</t>
    <rPh sb="0" eb="2">
      <t>カイゴ</t>
    </rPh>
    <phoneticPr fontId="3"/>
  </si>
  <si>
    <t>介護給付費算定に係る体制等に関する届出書＜指定事業者用＞</t>
    <phoneticPr fontId="3"/>
  </si>
  <si>
    <t>介護給付費算定に係る体制等に関する届出書</t>
    <rPh sb="0" eb="2">
      <t>カイゴ</t>
    </rPh>
    <rPh sb="2" eb="4">
      <t>キュウフ</t>
    </rPh>
    <rPh sb="4" eb="5">
      <t>ヒ</t>
    </rPh>
    <rPh sb="5" eb="7">
      <t>サンテイ</t>
    </rPh>
    <rPh sb="8" eb="9">
      <t>カカ</t>
    </rPh>
    <rPh sb="10" eb="12">
      <t>タイセイ</t>
    </rPh>
    <rPh sb="12" eb="13">
      <t>トウ</t>
    </rPh>
    <rPh sb="14" eb="15">
      <t>カン</t>
    </rPh>
    <rPh sb="17" eb="20">
      <t>トドケデショ</t>
    </rPh>
    <phoneticPr fontId="3"/>
  </si>
  <si>
    <t>夜勤職員配置及び夜勤職員配置加算算定表</t>
    <rPh sb="0" eb="2">
      <t>ヤキン</t>
    </rPh>
    <rPh sb="2" eb="4">
      <t>ショクイン</t>
    </rPh>
    <rPh sb="4" eb="6">
      <t>ハイチ</t>
    </rPh>
    <rPh sb="6" eb="7">
      <t>オヨ</t>
    </rPh>
    <phoneticPr fontId="3"/>
  </si>
  <si>
    <t>【資格要件】社会福祉法第19条第1項各号のいずれかに該当する者又はそれと同等以上の能力を有すると認められる者（介護福祉士、介護支援専門員）</t>
    <rPh sb="1" eb="3">
      <t>シカク</t>
    </rPh>
    <rPh sb="3" eb="5">
      <t>ヨウケン</t>
    </rPh>
    <rPh sb="6" eb="8">
      <t>シャカイ</t>
    </rPh>
    <rPh sb="8" eb="10">
      <t>フクシ</t>
    </rPh>
    <rPh sb="10" eb="11">
      <t>ホウ</t>
    </rPh>
    <rPh sb="11" eb="12">
      <t>ダイ</t>
    </rPh>
    <rPh sb="14" eb="15">
      <t>ジョウ</t>
    </rPh>
    <rPh sb="15" eb="16">
      <t>ダイ</t>
    </rPh>
    <rPh sb="17" eb="18">
      <t>コウ</t>
    </rPh>
    <rPh sb="18" eb="19">
      <t>カク</t>
    </rPh>
    <rPh sb="19" eb="20">
      <t>ゴウ</t>
    </rPh>
    <rPh sb="26" eb="28">
      <t>ガイトウ</t>
    </rPh>
    <rPh sb="30" eb="31">
      <t>モノ</t>
    </rPh>
    <rPh sb="31" eb="32">
      <t>マタ</t>
    </rPh>
    <rPh sb="36" eb="38">
      <t>ドウトウ</t>
    </rPh>
    <rPh sb="38" eb="40">
      <t>イジョウ</t>
    </rPh>
    <rPh sb="41" eb="43">
      <t>ノウリョク</t>
    </rPh>
    <rPh sb="44" eb="45">
      <t>ユウ</t>
    </rPh>
    <rPh sb="48" eb="49">
      <t>ミト</t>
    </rPh>
    <rPh sb="53" eb="54">
      <t>モノ</t>
    </rPh>
    <rPh sb="55" eb="57">
      <t>カイゴ</t>
    </rPh>
    <rPh sb="57" eb="60">
      <t>フクシシ</t>
    </rPh>
    <rPh sb="61" eb="63">
      <t>カイゴ</t>
    </rPh>
    <rPh sb="63" eb="65">
      <t>シエン</t>
    </rPh>
    <rPh sb="65" eb="68">
      <t>センモンイン</t>
    </rPh>
    <phoneticPr fontId="3"/>
  </si>
  <si>
    <r>
      <t xml:space="preserve">●看護体制加算Ⅰを算定している場合は、常勤の正看護師が必要。
●看護体制加算Ⅱを算定している場合は、常勤換算で左記基準＋１名が必要（短期と要按分）
</t>
    </r>
    <r>
      <rPr>
        <sz val="8"/>
        <color indexed="10"/>
        <rFont val="HG丸ｺﾞｼｯｸM-PRO"/>
        <family val="3"/>
        <charset val="128"/>
      </rPr>
      <t>※看護職員が機能訓練指導員と兼務している場合は、各々の勤務時間を切り分けること。</t>
    </r>
    <rPh sb="75" eb="77">
      <t>カンゴ</t>
    </rPh>
    <rPh sb="77" eb="79">
      <t>ショクイン</t>
    </rPh>
    <rPh sb="80" eb="82">
      <t>キノウ</t>
    </rPh>
    <rPh sb="82" eb="84">
      <t>クンレン</t>
    </rPh>
    <rPh sb="84" eb="87">
      <t>シドウイン</t>
    </rPh>
    <rPh sb="88" eb="90">
      <t>ケンム</t>
    </rPh>
    <rPh sb="94" eb="96">
      <t>バアイ</t>
    </rPh>
    <rPh sb="98" eb="100">
      <t>オノオノ</t>
    </rPh>
    <rPh sb="101" eb="103">
      <t>キンム</t>
    </rPh>
    <rPh sb="103" eb="105">
      <t>ジカン</t>
    </rPh>
    <rPh sb="106" eb="107">
      <t>キ</t>
    </rPh>
    <rPh sb="108" eb="109">
      <t>ワ</t>
    </rPh>
    <phoneticPr fontId="3"/>
  </si>
  <si>
    <t>施設コード</t>
    <rPh sb="0" eb="1">
      <t>シ</t>
    </rPh>
    <rPh sb="1" eb="2">
      <t>セツ</t>
    </rPh>
    <phoneticPr fontId="3"/>
  </si>
  <si>
    <t>事業所コード</t>
    <rPh sb="0" eb="3">
      <t>ジギョウショ</t>
    </rPh>
    <phoneticPr fontId="3"/>
  </si>
  <si>
    <t>人員基準確認表（介護老人福祉施設）</t>
    <rPh sb="6" eb="7">
      <t>ヒョウ</t>
    </rPh>
    <rPh sb="8" eb="10">
      <t>カイゴ</t>
    </rPh>
    <rPh sb="10" eb="12">
      <t>ロウジン</t>
    </rPh>
    <rPh sb="12" eb="14">
      <t>フクシ</t>
    </rPh>
    <rPh sb="14" eb="16">
      <t>シセツ</t>
    </rPh>
    <phoneticPr fontId="3"/>
  </si>
  <si>
    <r>
      <t xml:space="preserve">特養入所者と短期利用者の合計数に対しての配置が必要。
</t>
    </r>
    <r>
      <rPr>
        <sz val="8"/>
        <color indexed="10"/>
        <rFont val="HG丸ｺﾞｼｯｸM-PRO"/>
        <family val="3"/>
        <charset val="128"/>
      </rPr>
      <t>※ユニット型の場合、日中はユニットごとに常時１名以上必要</t>
    </r>
    <phoneticPr fontId="3"/>
  </si>
  <si>
    <t>◎勤務形態一覧は、機能訓練指導員分（算定月）、機能訓練指導員の免許証（写） 、 はり師・きゅう師は従事証明書（要件確認ができるもの）</t>
    <rPh sb="42" eb="43">
      <t>シ</t>
    </rPh>
    <rPh sb="47" eb="48">
      <t>シ</t>
    </rPh>
    <rPh sb="49" eb="51">
      <t>ジュウジ</t>
    </rPh>
    <rPh sb="51" eb="54">
      <t>ショウメイショ</t>
    </rPh>
    <rPh sb="55" eb="57">
      <t>ヨウケン</t>
    </rPh>
    <rPh sb="57" eb="59">
      <t>カクニン</t>
    </rPh>
    <phoneticPr fontId="3"/>
  </si>
  <si>
    <t>◎勤務形態一覧は、看護職員分（算定月）、看取りに関する方針、看護職員の免許証（写）、平面図（看取りのための個室の確認）</t>
    <rPh sb="20" eb="22">
      <t>ミト</t>
    </rPh>
    <rPh sb="24" eb="25">
      <t>カン</t>
    </rPh>
    <rPh sb="27" eb="29">
      <t>ホウシン</t>
    </rPh>
    <rPh sb="32" eb="34">
      <t>ショクイン</t>
    </rPh>
    <phoneticPr fontId="3"/>
  </si>
  <si>
    <t>介護事業者課</t>
    <rPh sb="0" eb="2">
      <t>カイゴ</t>
    </rPh>
    <rPh sb="2" eb="5">
      <t>ジギョウシャ</t>
    </rPh>
    <rPh sb="5" eb="6">
      <t>カ</t>
    </rPh>
    <phoneticPr fontId="3"/>
  </si>
  <si>
    <t>居宅グループ</t>
    <rPh sb="0" eb="2">
      <t>キョタク</t>
    </rPh>
    <phoneticPr fontId="3"/>
  </si>
  <si>
    <t>安全管理体制</t>
    <rPh sb="0" eb="2">
      <t>アンゼン</t>
    </rPh>
    <rPh sb="2" eb="4">
      <t>カンリ</t>
    </rPh>
    <rPh sb="4" eb="6">
      <t>タイセイ</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</si>
  <si>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</si>
  <si>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</si>
  <si>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個別機能訓練加算</t>
    <rPh sb="6" eb="8">
      <t>カサン</t>
    </rPh>
    <phoneticPr fontId="3"/>
  </si>
  <si>
    <t>ADL維持等加算〔申出〕の有無</t>
    <rPh sb="3" eb="5">
      <t>イジ</t>
    </rPh>
    <rPh sb="5" eb="6">
      <t>トウ</t>
    </rPh>
    <rPh sb="6" eb="8">
      <t>カサン</t>
    </rPh>
    <rPh sb="9" eb="11">
      <t>モウシデ</t>
    </rPh>
    <rPh sb="13" eb="15">
      <t>ウム</t>
    </rPh>
    <phoneticPr fontId="3"/>
  </si>
  <si>
    <t>栄養マネジメント強化体制</t>
    <rPh sb="8" eb="10">
      <t>キョウカ</t>
    </rPh>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</si>
  <si>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</si>
  <si>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</si>
  <si>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科学的介護推進体制加算</t>
    <rPh sb="0" eb="3">
      <t>カガクテキ</t>
    </rPh>
    <rPh sb="3" eb="5">
      <t>カイゴ</t>
    </rPh>
    <rPh sb="5" eb="7">
      <t>スイシン</t>
    </rPh>
    <rPh sb="7" eb="9">
      <t>タイセイ</t>
    </rPh>
    <rPh sb="9" eb="11">
      <t>カサン</t>
    </rPh>
    <phoneticPr fontId="3"/>
  </si>
  <si>
    <t>安全対策体制</t>
    <rPh sb="0" eb="2">
      <t>アンゼン</t>
    </rPh>
    <rPh sb="2" eb="4">
      <t>タイサク</t>
    </rPh>
    <rPh sb="4" eb="6">
      <t>タイセイ</t>
    </rPh>
    <phoneticPr fontId="3"/>
  </si>
  <si>
    <t>１.介護福祉施設、２.経過的小規模介護福祉施設、３.ユニット型介護福祉施設、４.経過的ユニット型小規模介護福祉施設</t>
    <rPh sb="40" eb="43">
      <t>ケイカテキ</t>
    </rPh>
    <phoneticPr fontId="3"/>
  </si>
  <si>
    <t>栄養ケア・マネジメントの実施の有無</t>
    <rPh sb="0" eb="2">
      <t>エイヨウ</t>
    </rPh>
    <rPh sb="12" eb="14">
      <t>ジッシ</t>
    </rPh>
    <rPh sb="15" eb="17">
      <t>ウム</t>
    </rPh>
    <phoneticPr fontId="3"/>
  </si>
  <si>
    <t>LIFEへの登録</t>
    <rPh sb="6" eb="8">
      <t>トウロク</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</si>
  <si>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</si>
  <si>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</si>
  <si>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</si>
  <si>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</si>
  <si>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</si>
  <si>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</si>
  <si>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</si>
  <si>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</si>
  <si>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</si>
  <si>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</si>
  <si>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</si>
  <si>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</si>
  <si>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</si>
  <si>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</si>
  <si>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</si>
  <si>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</si>
  <si>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</si>
  <si>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</si>
  <si>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</si>
  <si>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</si>
  <si>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</si>
  <si>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</si>
  <si>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</si>
  <si>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</si>
  <si>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</si>
  <si>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</si>
  <si>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</si>
  <si>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</si>
  <si>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</si>
  <si>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</si>
  <si>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</si>
  <si>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</si>
  <si>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</si>
  <si>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</si>
  <si>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</si>
  <si>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</si>
  <si>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</si>
  <si>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</si>
  <si>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</si>
  <si>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</si>
  <si>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</si>
  <si>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</si>
  <si>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</si>
  <si>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</si>
  <si>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</si>
  <si>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</si>
  <si>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</si>
  <si>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</si>
  <si>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</si>
  <si>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</si>
  <si>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</si>
  <si>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</si>
  <si>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</si>
  <si>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令和　　年　　月　　日</t>
    <rPh sb="4" eb="5">
      <t>ネン</t>
    </rPh>
    <rPh sb="7" eb="8">
      <t>ガツ</t>
    </rPh>
    <rPh sb="10" eb="11">
      <t>ニチ</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</si>
  <si>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</si>
  <si>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　1　新規　2　変更　3　終了</t>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</si>
  <si>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</si>
  <si>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</si>
  <si>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</si>
  <si>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</si>
  <si>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</si>
  <si>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</si>
  <si>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</si>
  <si>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</si>
  <si>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</si>
  <si>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</si>
  <si>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</si>
  <si>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</si>
  <si>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</si>
  <si>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</si>
  <si>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</si>
  <si>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</si>
  <si>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</si>
  <si>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</si>
  <si>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</si>
  <si>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</si>
  <si>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</si>
  <si>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</si>
  <si>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</si>
  <si>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</si>
  <si>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</si>
  <si>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</si>
  <si>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</si>
  <si>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</si>
  <si>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</si>
  <si>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</si>
  <si>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</si>
  <si>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</si>
  <si>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</si>
  <si>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</si>
  <si>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</si>
  <si>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</si>
  <si>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</si>
  <si>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</si>
  <si>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</si>
  <si>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</si>
  <si>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</si>
  <si>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</si>
  <si>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</si>
  <si>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</si>
  <si>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１０％以上</t>
    <rPh sb="3" eb="5">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</si>
  <si>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</si>
  <si>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</si>
  <si>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</si>
  <si>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</si>
  <si>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</si>
  <si>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</si>
  <si>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</si>
  <si>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</si>
  <si>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</si>
  <si>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</si>
  <si>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</si>
  <si>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栄養マネジメント体制に関する届出書</t>
    <rPh sb="0" eb="2">
      <t>エイヨウ</t>
    </rPh>
    <rPh sb="8" eb="10">
      <t>タイセイ</t>
    </rPh>
    <rPh sb="11" eb="12">
      <t>カン</t>
    </rPh>
    <rPh sb="14" eb="17">
      <t>トドケデショ</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</si>
  <si>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</si>
  <si>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</si>
  <si>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</si>
  <si>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</si>
  <si>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</si>
  <si>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</si>
  <si>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</si>
  <si>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</si>
  <si>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</si>
  <si>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</si>
  <si>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</si>
  <si>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</si>
  <si>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</si>
  <si>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看　護　師</t>
    <phoneticPr fontId="3"/>
  </si>
  <si>
    <t>管 理 栄 養 士</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</si>
  <si>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</si>
  <si>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</si>
  <si>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</si>
  <si>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5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</si>
  <si>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</si>
  <si>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</si>
  <si>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①に占める②の割合が80％以上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</si>
  <si>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</si>
  <si>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</si>
  <si>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</si>
  <si>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①に占める③の割合が35％以上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</si>
  <si>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</si>
  <si>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</si>
  <si>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（２）サービス提供体制強化加算（Ⅱ）</t>
    <rPh sb="7" eb="9">
      <t>テイキョウ</t>
    </rPh>
    <rPh sb="9" eb="11">
      <t>タイセイ</t>
    </rPh>
    <rPh sb="11" eb="13">
      <t>キョウカ</t>
    </rPh>
    <rPh sb="13" eb="15">
      <t>カサン</t>
    </rPh>
    <phoneticPr fontId="3"/>
  </si>
  <si>
    <t>①に占める②の割合が60％以上</t>
    <rPh sb="2" eb="3">
      <t>シ</t>
    </rPh>
    <rPh sb="7" eb="9">
      <t>ワリアイ</t>
    </rPh>
    <rPh sb="13" eb="15">
      <t>イジョウ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</si>
  <si>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</si>
  <si>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</si>
  <si>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</si>
  <si>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</si>
  <si>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</si>
  <si>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</si>
  <si>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</si>
  <si>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</si>
  <si>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①に占める②の割合が30％以上</t>
    <rPh sb="2" eb="3">
      <t>シ</t>
    </rPh>
    <rPh sb="7" eb="9">
      <t>ワリアイ</t>
    </rPh>
    <rPh sb="13" eb="15">
      <t>イジョウ</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</si>
  <si>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</si>
  <si>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①のうち勤続年数７年以上の者の総数
　（常勤換算）</t>
    <phoneticPr fontId="3"/>
  </si>
  <si>
    <t>備考１</t>
    <rPh sb="0" eb="2">
      <t>ビコウ</t>
    </rPh>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</si>
  <si>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</si>
  <si>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</si>
  <si>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看護体制加算に係る届出書</t>
    <rPh sb="7" eb="8">
      <t>カカ</t>
    </rPh>
    <phoneticPr fontId="3"/>
  </si>
  <si>
    <t>看取り介護体制に係る届出書</t>
    <rPh sb="8" eb="9">
      <t>カカ</t>
    </rPh>
    <phoneticPr fontId="3"/>
  </si>
  <si>
    <t>栄養マネジメント体制に関する届出書</t>
    <rPh sb="8" eb="10">
      <t>タイセイ</t>
    </rPh>
    <rPh sb="11" eb="12">
      <t>カン</t>
    </rPh>
    <phoneticPr fontId="3"/>
  </si>
  <si>
    <t>日常生活継続支援加算に関する届出書</t>
    <rPh sb="0" eb="2">
      <t>ニチジョウ</t>
    </rPh>
    <rPh sb="2" eb="4">
      <t>セイカツ</t>
    </rPh>
    <rPh sb="4" eb="6">
      <t>ケイゾク</t>
    </rPh>
    <rPh sb="6" eb="8">
      <t>シエン</t>
    </rPh>
    <rPh sb="8" eb="10">
      <t>カサン</t>
    </rPh>
    <rPh sb="11" eb="12">
      <t>カン</t>
    </rPh>
    <rPh sb="14" eb="17">
      <t>トドケデショ</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</si>
  <si>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8">
      <t>トドケデ</t>
    </rPh>
    <rPh sb="28" eb="29">
      <t>ショ</t>
    </rPh>
    <phoneticPr fontId="3"/>
  </si>
  <si>
    <t>配置医師緊急時対応加算に係る届出書</t>
    <rPh sb="12" eb="13">
      <t>カカ</t>
    </rPh>
    <phoneticPr fontId="3"/>
  </si>
  <si>
    <t>テクノロジー導入による夜勤職員配置加算に係る届出書</t>
    <rPh sb="6" eb="8">
      <t>ドウニュウ</t>
    </rPh>
    <rPh sb="11" eb="13">
      <t>ヤキン</t>
    </rPh>
    <rPh sb="13" eb="15">
      <t>ショクイン</t>
    </rPh>
    <rPh sb="15" eb="17">
      <t>ハイチ</t>
    </rPh>
    <rPh sb="17" eb="19">
      <t>カサン</t>
    </rPh>
    <rPh sb="20" eb="21">
      <t>カカ</t>
    </rPh>
    <rPh sb="22" eb="25">
      <t>トドケデショ</t>
    </rPh>
    <phoneticPr fontId="3"/>
  </si>
  <si>
    <t>特養25</t>
    <rPh sb="0" eb="2">
      <t>トクヨウ</t>
    </rPh>
    <phoneticPr fontId="3"/>
  </si>
  <si>
    <t>特養26</t>
    <rPh sb="0" eb="2">
      <t>トクヨウ</t>
    </rPh>
    <phoneticPr fontId="3"/>
  </si>
  <si>
    <t>特養27</t>
    <rPh sb="0" eb="2">
      <t>トクヨウ</t>
    </rPh>
    <phoneticPr fontId="3"/>
  </si>
  <si>
    <t>特養28</t>
    <rPh sb="0" eb="2">
      <t>トクヨウ</t>
    </rPh>
    <phoneticPr fontId="3"/>
  </si>
  <si>
    <t>特養29</t>
    <rPh sb="0" eb="2">
      <t>トクヨウ</t>
    </rPh>
    <phoneticPr fontId="3"/>
  </si>
  <si>
    <t>特養30</t>
    <rPh sb="0" eb="2">
      <t>トクヨウ</t>
    </rPh>
    <phoneticPr fontId="3"/>
  </si>
  <si>
    <t>特養31</t>
    <rPh sb="0" eb="2">
      <t>トクヨウ</t>
    </rPh>
    <phoneticPr fontId="3"/>
  </si>
  <si>
    <t>特養32</t>
    <rPh sb="0" eb="2">
      <t>トクヨウ</t>
    </rPh>
    <phoneticPr fontId="3"/>
  </si>
  <si>
    <t>特養33</t>
    <rPh sb="0" eb="2">
      <t>トクヨウ</t>
    </rPh>
    <phoneticPr fontId="3"/>
  </si>
  <si>
    <t>認知症介護実践リーダー研修修了証（写）、認知症介護指導者養成研修修了証（写）又は認知症看護に係る適切な研修の修了証（写）</t>
    <rPh sb="17" eb="18">
      <t>ウツ</t>
    </rPh>
    <rPh sb="36" eb="37">
      <t>ウツ</t>
    </rPh>
    <rPh sb="38" eb="39">
      <t>マタ</t>
    </rPh>
    <rPh sb="40" eb="43">
      <t>ニンチショウ</t>
    </rPh>
    <rPh sb="43" eb="45">
      <t>カンゴ</t>
    </rPh>
    <rPh sb="46" eb="47">
      <t>カカ</t>
    </rPh>
    <rPh sb="48" eb="50">
      <t>テキセツ</t>
    </rPh>
    <rPh sb="51" eb="53">
      <t>ケンシュウ</t>
    </rPh>
    <rPh sb="54" eb="56">
      <t>シュウリョウ</t>
    </rPh>
    <rPh sb="56" eb="57">
      <t>ショウ</t>
    </rPh>
    <rPh sb="58" eb="59">
      <t>ウツ</t>
    </rPh>
    <phoneticPr fontId="3"/>
  </si>
  <si>
    <t>栄養マネジメント強化加算を算定している場合は、管理栄養士を常勤換算で入所者の数を50（施設に常勤栄養士を1人以上配置し、給食管理を行っている場合は70）で除して得た数以上配置が必要。</t>
    <rPh sb="8" eb="10">
      <t>キョウカ</t>
    </rPh>
    <rPh sb="23" eb="25">
      <t>カンリ</t>
    </rPh>
    <rPh sb="25" eb="28">
      <t>エイヨウシ</t>
    </rPh>
    <rPh sb="29" eb="31">
      <t>ジョウキン</t>
    </rPh>
    <rPh sb="31" eb="33">
      <t>カンサン</t>
    </rPh>
    <rPh sb="34" eb="37">
      <t>ニュウショシャ</t>
    </rPh>
    <rPh sb="38" eb="39">
      <t>カズ</t>
    </rPh>
    <rPh sb="43" eb="45">
      <t>シセツ</t>
    </rPh>
    <rPh sb="46" eb="48">
      <t>ジョウキン</t>
    </rPh>
    <rPh sb="48" eb="51">
      <t>エイヨウシ</t>
    </rPh>
    <rPh sb="53" eb="54">
      <t>ニン</t>
    </rPh>
    <rPh sb="54" eb="56">
      <t>イジョウ</t>
    </rPh>
    <rPh sb="56" eb="58">
      <t>ハイチ</t>
    </rPh>
    <rPh sb="60" eb="62">
      <t>キュウショク</t>
    </rPh>
    <rPh sb="62" eb="64">
      <t>カンリ</t>
    </rPh>
    <rPh sb="65" eb="66">
      <t>オコナ</t>
    </rPh>
    <rPh sb="70" eb="72">
      <t>バアイ</t>
    </rPh>
    <rPh sb="77" eb="78">
      <t>ジョ</t>
    </rPh>
    <rPh sb="80" eb="81">
      <t>エ</t>
    </rPh>
    <rPh sb="82" eb="83">
      <t>カズ</t>
    </rPh>
    <rPh sb="83" eb="85">
      <t>イジョウ</t>
    </rPh>
    <rPh sb="85" eb="87">
      <t>ハイチ</t>
    </rPh>
    <rPh sb="88" eb="90">
      <t>ヒツヨウ</t>
    </rPh>
    <phoneticPr fontId="3"/>
  </si>
  <si>
    <r>
      <t>　介護給付費算定に係る体制等（介護報酬加算等）に関する情報については、介護報酬の留意事項通知、届出等の留意事項通知（</t>
    </r>
    <r>
      <rPr>
        <sz val="11"/>
        <color indexed="10"/>
        <rFont val="HGPｺﾞｼｯｸM"/>
        <family val="3"/>
        <charset val="128"/>
      </rPr>
      <t>※</t>
    </r>
    <r>
      <rPr>
        <sz val="11"/>
        <rFont val="HGPｺﾞｼｯｸM"/>
        <family val="3"/>
        <charset val="128"/>
      </rPr>
      <t>）により届出が必要です。「届出先及び算定時期について」「算定要件」「必要書類」を確認し、届出してください（郵送可）。</t>
    </r>
    <rPh sb="112" eb="114">
      <t>ユウソウ</t>
    </rPh>
    <rPh sb="114" eb="115">
      <t>カ</t>
    </rPh>
    <phoneticPr fontId="3"/>
  </si>
  <si>
    <t>※届出に際しては、事前に連絡の上、届出先に提出してください（郵送可）。</t>
    <rPh sb="9" eb="11">
      <t>ジゼン</t>
    </rPh>
    <rPh sb="12" eb="14">
      <t>レンラク</t>
    </rPh>
    <rPh sb="17" eb="19">
      <t>トドケデ</t>
    </rPh>
    <rPh sb="19" eb="20">
      <t>サキ</t>
    </rPh>
    <rPh sb="21" eb="23">
      <t>テイシュツ</t>
    </rPh>
    <rPh sb="30" eb="32">
      <t>ユウソウ</t>
    </rPh>
    <rPh sb="32" eb="33">
      <t>カ</t>
    </rPh>
    <phoneticPr fontId="3"/>
  </si>
  <si>
    <r>
      <t>　　〇返信用封筒（返信先のあて名を記入し、切手を貼付してください。）</t>
    </r>
    <r>
      <rPr>
        <sz val="11"/>
        <color indexed="10"/>
        <rFont val="HGPｺﾞｼｯｸM"/>
        <family val="3"/>
        <charset val="128"/>
      </rPr>
      <t>※来庁にて受付した場合は不要です。</t>
    </r>
    <rPh sb="3" eb="6">
      <t>ヘンシンヨウ</t>
    </rPh>
    <rPh sb="6" eb="8">
      <t>フウトウ</t>
    </rPh>
    <rPh sb="9" eb="11">
      <t>ヘンシン</t>
    </rPh>
    <rPh sb="11" eb="12">
      <t>サキ</t>
    </rPh>
    <rPh sb="15" eb="16">
      <t>ナ</t>
    </rPh>
    <rPh sb="17" eb="19">
      <t>キニュウ</t>
    </rPh>
    <rPh sb="21" eb="23">
      <t>キッテ</t>
    </rPh>
    <rPh sb="24" eb="26">
      <t>チョウフ</t>
    </rPh>
    <rPh sb="35" eb="37">
      <t>ライチョウ</t>
    </rPh>
    <rPh sb="39" eb="41">
      <t>ウケツケ</t>
    </rPh>
    <rPh sb="43" eb="45">
      <t>バアイ</t>
    </rPh>
    <rPh sb="46" eb="48">
      <t>フヨウ</t>
    </rPh>
    <phoneticPr fontId="3"/>
  </si>
  <si>
    <t>●※</t>
    <phoneticPr fontId="3"/>
  </si>
  <si>
    <t>介護老人福祉施設（従来型）の夜間の人員配置基準及び介護老人福祉施設の夜勤職員配置加算について、見守り機器やインカム等のICTを導入する場合、基準や要件の緩和があります（届出要）。</t>
    <rPh sb="0" eb="2">
      <t>カイゴ</t>
    </rPh>
    <rPh sb="2" eb="4">
      <t>ロウジン</t>
    </rPh>
    <rPh sb="4" eb="6">
      <t>フクシ</t>
    </rPh>
    <rPh sb="6" eb="8">
      <t>シセツ</t>
    </rPh>
    <rPh sb="9" eb="12">
      <t>ジュウライガタ</t>
    </rPh>
    <rPh sb="14" eb="16">
      <t>ヤカン</t>
    </rPh>
    <rPh sb="17" eb="19">
      <t>ジンイン</t>
    </rPh>
    <rPh sb="19" eb="21">
      <t>ハイチ</t>
    </rPh>
    <rPh sb="21" eb="23">
      <t>キジュン</t>
    </rPh>
    <rPh sb="23" eb="24">
      <t>オヨ</t>
    </rPh>
    <rPh sb="25" eb="27">
      <t>カイゴ</t>
    </rPh>
    <rPh sb="27" eb="29">
      <t>ロウジン</t>
    </rPh>
    <rPh sb="29" eb="31">
      <t>フクシ</t>
    </rPh>
    <rPh sb="31" eb="33">
      <t>シセツ</t>
    </rPh>
    <rPh sb="34" eb="36">
      <t>ヤキン</t>
    </rPh>
    <rPh sb="36" eb="38">
      <t>ショクイン</t>
    </rPh>
    <rPh sb="38" eb="40">
      <t>ハイチ</t>
    </rPh>
    <rPh sb="40" eb="42">
      <t>カサン</t>
    </rPh>
    <rPh sb="47" eb="49">
      <t>ミマモ</t>
    </rPh>
    <rPh sb="50" eb="52">
      <t>キキ</t>
    </rPh>
    <rPh sb="57" eb="58">
      <t>トウ</t>
    </rPh>
    <rPh sb="63" eb="65">
      <t>ドウニュウ</t>
    </rPh>
    <rPh sb="67" eb="69">
      <t>バアイ</t>
    </rPh>
    <rPh sb="70" eb="72">
      <t>キジュン</t>
    </rPh>
    <rPh sb="73" eb="75">
      <t>ヨウケン</t>
    </rPh>
    <rPh sb="76" eb="78">
      <t>カンワ</t>
    </rPh>
    <rPh sb="84" eb="86">
      <t>トドケデ</t>
    </rPh>
    <rPh sb="86" eb="87">
      <t>ヨウ</t>
    </rPh>
    <phoneticPr fontId="3"/>
  </si>
  <si>
    <t>若年性認知症入所者受入加算</t>
    <rPh sb="0" eb="3">
      <t>ジャクネンセイ</t>
    </rPh>
    <rPh sb="3" eb="5">
      <t>ニンチ</t>
    </rPh>
    <rPh sb="5" eb="6">
      <t>ショウ</t>
    </rPh>
    <rPh sb="6" eb="9">
      <t>ニュウショシャ</t>
    </rPh>
    <rPh sb="9" eb="11">
      <t>ウケイ</t>
    </rPh>
    <rPh sb="11" eb="13">
      <t>カサン</t>
    </rPh>
    <phoneticPr fontId="3"/>
  </si>
  <si>
    <t>参考１</t>
    <phoneticPr fontId="3"/>
  </si>
  <si>
    <r>
      <t>参考２</t>
    </r>
    <r>
      <rPr>
        <i/>
        <sz val="10"/>
        <rFont val="HGPｺﾞｼｯｸM"/>
        <family val="3"/>
        <charset val="128"/>
      </rPr>
      <t>　　　　</t>
    </r>
    <rPh sb="0" eb="2">
      <t>サンコウ</t>
    </rPh>
    <phoneticPr fontId="3"/>
  </si>
  <si>
    <t>◎勤務形態一覧は、看護・介護職員分（算定月）、参考1「人員基準確認表」、参考2「夜勤職員配置及び夜勤職員配置加算算定表」
※テクノロジーを導入する規定に該当する場合は提出が必要、要件を満たすことが分かる議事概要も併せて提出が必要</t>
    <rPh sb="69" eb="71">
      <t>ドウニュウ</t>
    </rPh>
    <rPh sb="73" eb="75">
      <t>キテイ</t>
    </rPh>
    <rPh sb="76" eb="78">
      <t>ガイトウ</t>
    </rPh>
    <rPh sb="80" eb="82">
      <t>バアイ</t>
    </rPh>
    <rPh sb="83" eb="85">
      <t>テイシュツ</t>
    </rPh>
    <rPh sb="86" eb="88">
      <t>ヒツヨウ</t>
    </rPh>
    <rPh sb="106" eb="107">
      <t>アワ</t>
    </rPh>
    <rPh sb="109" eb="111">
      <t>テイシュツ</t>
    </rPh>
    <rPh sb="112" eb="114">
      <t>ヒツヨウ</t>
    </rPh>
    <phoneticPr fontId="3"/>
  </si>
  <si>
    <t>◎勤務形態一覧は、職員全員分（算定月）、参考1「人員基準確認表」、参考2「夜勤職員配置及び夜勤職員配置加算算定表」</t>
    <rPh sb="55" eb="56">
      <t>ヒョウ</t>
    </rPh>
    <phoneticPr fontId="3"/>
  </si>
  <si>
    <t>参考1「人員基準確認表」</t>
    <rPh sb="0" eb="2">
      <t>サンコウ</t>
    </rPh>
    <rPh sb="4" eb="6">
      <t>ジンイン</t>
    </rPh>
    <rPh sb="6" eb="8">
      <t>キジュン</t>
    </rPh>
    <rPh sb="8" eb="10">
      <t>カクニン</t>
    </rPh>
    <rPh sb="10" eb="11">
      <t>ヒョウ</t>
    </rPh>
    <phoneticPr fontId="3"/>
  </si>
  <si>
    <t>◎勤務形態一覧は、看護職員分（算定月）、看護職員の免許証（写）、参考1「人員基準確認表」</t>
    <rPh sb="9" eb="11">
      <t>カンゴ</t>
    </rPh>
    <rPh sb="11" eb="13">
      <t>ショクイン</t>
    </rPh>
    <rPh sb="13" eb="14">
      <t>ブン</t>
    </rPh>
    <rPh sb="20" eb="22">
      <t>カンゴ</t>
    </rPh>
    <rPh sb="29" eb="30">
      <t>ウツ</t>
    </rPh>
    <rPh sb="32" eb="34">
      <t>サンコウ</t>
    </rPh>
    <rPh sb="36" eb="38">
      <t>ジンイン</t>
    </rPh>
    <rPh sb="38" eb="40">
      <t>キジュン</t>
    </rPh>
    <rPh sb="40" eb="42">
      <t>カクニン</t>
    </rPh>
    <rPh sb="42" eb="43">
      <t>ヒョウ</t>
    </rPh>
    <phoneticPr fontId="3"/>
  </si>
  <si>
    <t>◎勤務形態一覧は、看護職員分（算定月）、看護職員の免許証（写）、参考1「人員基準確認表」</t>
    <rPh sb="9" eb="11">
      <t>カンゴ</t>
    </rPh>
    <rPh sb="11" eb="13">
      <t>ショクイン</t>
    </rPh>
    <rPh sb="13" eb="14">
      <t>ブン</t>
    </rPh>
    <rPh sb="20" eb="22">
      <t>カンゴ</t>
    </rPh>
    <rPh sb="29" eb="30">
      <t>ウツ</t>
    </rPh>
    <rPh sb="32" eb="34">
      <t>サンコウ</t>
    </rPh>
    <rPh sb="36" eb="38">
      <t>ジンイン</t>
    </rPh>
    <rPh sb="38" eb="43">
      <t>キジュンカクニンヒョウ</t>
    </rPh>
    <phoneticPr fontId="3"/>
  </si>
  <si>
    <t>参考1「人員基準確認表」、各障害に対応できる専門性が確認できるもの</t>
    <rPh sb="0" eb="2">
      <t>サンコウ</t>
    </rPh>
    <rPh sb="4" eb="11">
      <t>ジンインキジュンカクニンヒョウ</t>
    </rPh>
    <phoneticPr fontId="3"/>
  </si>
  <si>
    <t>◎勤務形態一覧は、栄養士・管理栄養士分（算定月）、管理栄養士の免許証（写）、参考1「人員基準確認表」</t>
    <rPh sb="9" eb="12">
      <t>エイヨウシ</t>
    </rPh>
    <rPh sb="13" eb="15">
      <t>カンリ</t>
    </rPh>
    <rPh sb="15" eb="18">
      <t>エイヨウシ</t>
    </rPh>
    <rPh sb="38" eb="40">
      <t>サンコウ</t>
    </rPh>
    <rPh sb="42" eb="44">
      <t>ジンイン</t>
    </rPh>
    <rPh sb="44" eb="49">
      <t>キジュンカクニンヒョウ</t>
    </rPh>
    <phoneticPr fontId="3"/>
  </si>
  <si>
    <t>参考1「人員基準確認表」</t>
    <rPh sb="0" eb="2">
      <t>サンコウ</t>
    </rPh>
    <rPh sb="4" eb="11">
      <t>ジンインキジュンカクニンヒョウ</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</si>
  <si>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</si>
  <si>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認知症専門ケア加算に係る届出書</t>
    <rPh sb="0" eb="3">
      <t>ニンチショウ</t>
    </rPh>
    <rPh sb="3" eb="5">
      <t>センモン</t>
    </rPh>
    <rPh sb="7" eb="9">
      <t>カサン</t>
    </rPh>
    <rPh sb="10" eb="11">
      <t>カカ</t>
    </rPh>
    <rPh sb="12" eb="15">
      <t>トドケデショ</t>
    </rPh>
    <phoneticPr fontId="3"/>
  </si>
  <si>
    <t>月</t>
    <rPh sb="0" eb="1">
      <t>ガツ</t>
    </rPh>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</si>
  <si>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</si>
  <si>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</si>
  <si>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</si>
  <si>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</si>
  <si>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</si>
  <si>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認知症専門ケア加算（Ⅰ）　　　</t>
    <phoneticPr fontId="3"/>
  </si>
  <si>
    <t>２　認知症専門ケア加算（Ⅱ）</t>
  </si>
  <si>
    <t>有</t>
    <rPh sb="0" eb="1">
      <t>ア</t>
    </rPh>
    <phoneticPr fontId="3"/>
  </si>
  <si>
    <t>・</t>
    <phoneticPr fontId="3"/>
  </si>
  <si>
    <t>無</t>
    <rPh sb="0" eb="1">
      <t>ナ</t>
    </rPh>
    <phoneticPr fontId="3"/>
  </si>
  <si>
    <t>１．認知症専門ケア加算（Ⅰ）に係る届出内容</t>
    <rPh sb="15" eb="16">
      <t>カカ</t>
    </rPh>
    <rPh sb="17" eb="18">
      <t>トド</t>
    </rPh>
    <rPh sb="18" eb="19">
      <t>デ</t>
    </rPh>
    <rPh sb="19" eb="21">
      <t>ナイヨウ</t>
    </rPh>
    <phoneticPr fontId="3"/>
  </si>
  <si>
    <t>(1)</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</si>
  <si>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</si>
  <si>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の割合が50％以上である</t>
  </si>
  <si>
    <t>①　利用者又は入所者の総数　注</t>
    <rPh sb="2" eb="5">
      <t>リヨウシャ</t>
    </rPh>
    <rPh sb="5" eb="6">
      <t>マタ</t>
    </rPh>
    <rPh sb="7" eb="10">
      <t>ニュウショシャ</t>
    </rPh>
    <rPh sb="11" eb="13">
      <t>ソウスウ</t>
    </rPh>
    <rPh sb="12" eb="13">
      <t>スウ</t>
    </rPh>
    <rPh sb="14" eb="15">
      <t>チュウ</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</si>
  <si>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</si>
  <si>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</si>
  <si>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</si>
  <si>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</si>
  <si>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(2)</t>
    <phoneticPr fontId="3"/>
  </si>
  <si>
    <t>認知症介護に係る専門的な研修を修了している者を、日常生活自立度のランクⅢ、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</si>
  <si>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</si>
  <si>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</si>
  <si>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</si>
  <si>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</si>
  <si>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</si>
  <si>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</si>
  <si>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</si>
  <si>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</si>
  <si>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</si>
  <si>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</si>
  <si>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</si>
  <si>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</si>
  <si>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</si>
  <si>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</si>
  <si>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</si>
  <si>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</si>
  <si>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</si>
  <si>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</si>
  <si>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</si>
  <si>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</si>
  <si>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</si>
  <si>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</si>
  <si>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</si>
  <si>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</si>
  <si>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認知症介護の指導に係る専門的な研修を修了している者を１名以上配置し、</t>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</si>
  <si>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</si>
  <si>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</si>
  <si>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</si>
  <si>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</si>
  <si>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</si>
  <si>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</si>
  <si>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</si>
  <si>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</si>
  <si>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</si>
  <si>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</si>
  <si>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</si>
  <si>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</si>
  <si>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</si>
  <si>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</si>
  <si>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</si>
  <si>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</si>
  <si>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</si>
  <si>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</si>
  <si>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前年度（３月を除く）</t>
  </si>
  <si>
    <t>5月</t>
  </si>
  <si>
    <t>6月</t>
  </si>
  <si>
    <t>7月</t>
  </si>
  <si>
    <t>8月</t>
  </si>
  <si>
    <t>9月</t>
  </si>
  <si>
    <t>10月</t>
  </si>
  <si>
    <t>11月</t>
  </si>
  <si>
    <t>12月</t>
  </si>
  <si>
    <t>1月</t>
  </si>
  <si>
    <t>2月</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</si>
  <si>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</si>
  <si>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</si>
  <si>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</si>
  <si>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人員配置区分</t>
  </si>
  <si>
    <t>そ　 　　の　 　　他　　 　該　　 　当　　 　す 　　　る 　　　体 　　　制 　　　等</t>
    <phoneticPr fontId="3"/>
  </si>
  <si>
    <t>割 引</t>
  </si>
  <si>
    <t>各サービス共通</t>
  </si>
  <si>
    <t>地域区分</t>
  </si>
  <si>
    <t>１　１級地</t>
  </si>
  <si>
    <t>６　２級地</t>
  </si>
  <si>
    <t>７　３級地</t>
  </si>
  <si>
    <t>２　４級地</t>
  </si>
  <si>
    <t>３　５級地</t>
  </si>
  <si>
    <t>４　６級地</t>
  </si>
  <si>
    <t>９　７級地</t>
  </si>
  <si>
    <t>５　その他</t>
  </si>
  <si>
    <t>夜間勤務条件基準</t>
  </si>
  <si>
    <t>１ 基準型</t>
    <rPh sb="2" eb="4">
      <t>キジュン</t>
    </rPh>
    <rPh sb="4" eb="5">
      <t>ガタ</t>
    </rPh>
    <phoneticPr fontId="3"/>
  </si>
  <si>
    <t>６ 減算型</t>
    <rPh sb="2" eb="4">
      <t>ゲンサン</t>
    </rPh>
    <rPh sb="4" eb="5">
      <t>ガタ</t>
    </rPh>
    <phoneticPr fontId="3"/>
  </si>
  <si>
    <t>１　なし</t>
  </si>
  <si>
    <t>１ なし</t>
    <phoneticPr fontId="3"/>
  </si>
  <si>
    <t>２ 看護職員</t>
    <rPh sb="2" eb="4">
      <t>カンゴ</t>
    </rPh>
    <rPh sb="4" eb="6">
      <t>ショクイン</t>
    </rPh>
    <phoneticPr fontId="3"/>
  </si>
  <si>
    <t>３ 介護職員</t>
    <rPh sb="2" eb="4">
      <t>カイゴ</t>
    </rPh>
    <rPh sb="4" eb="6">
      <t>ショクイン</t>
    </rPh>
    <phoneticPr fontId="3"/>
  </si>
  <si>
    <t>４ 介護支援専門員</t>
    <rPh sb="2" eb="4">
      <t>カイゴ</t>
    </rPh>
    <rPh sb="4" eb="6">
      <t>シエン</t>
    </rPh>
    <rPh sb="6" eb="8">
      <t>センモン</t>
    </rPh>
    <phoneticPr fontId="3"/>
  </si>
  <si>
    <t>２　あり</t>
  </si>
  <si>
    <t>１ 対応不可</t>
    <rPh sb="2" eb="4">
      <t>タイオウ</t>
    </rPh>
    <rPh sb="4" eb="6">
      <t>フカ</t>
    </rPh>
    <phoneticPr fontId="3"/>
  </si>
  <si>
    <t>２ 対応可</t>
    <phoneticPr fontId="3"/>
  </si>
  <si>
    <t>身体拘束廃止取組の有無</t>
  </si>
  <si>
    <t>１ 減算型</t>
    <phoneticPr fontId="3"/>
  </si>
  <si>
    <t>２ 基準型</t>
    <rPh sb="2" eb="4">
      <t>キジュン</t>
    </rPh>
    <rPh sb="4" eb="5">
      <t>ガタ</t>
    </rPh>
    <phoneticPr fontId="3"/>
  </si>
  <si>
    <t>高齢者虐待防止措置実施の有無</t>
    <phoneticPr fontId="3"/>
  </si>
  <si>
    <t>２ 基準型</t>
    <phoneticPr fontId="3"/>
  </si>
  <si>
    <t>業務継続計画策定の有無</t>
    <phoneticPr fontId="3"/>
  </si>
  <si>
    <t>栄養ケア・マネジメントの
実施の有無</t>
    <rPh sb="0" eb="2">
      <t>エイヨウ</t>
    </rPh>
    <rPh sb="13" eb="15">
      <t>ジッシ</t>
    </rPh>
    <rPh sb="16" eb="18">
      <t>ウム</t>
    </rPh>
    <phoneticPr fontId="3"/>
  </si>
  <si>
    <t>２ あり</t>
    <phoneticPr fontId="3"/>
  </si>
  <si>
    <t>日常生活継続支援加算</t>
    <rPh sb="0" eb="2">
      <t>ニチジョウ</t>
    </rPh>
    <rPh sb="2" eb="4">
      <t>セイカツ</t>
    </rPh>
    <rPh sb="4" eb="6">
      <t>ケイゾク</t>
    </rPh>
    <rPh sb="6" eb="8">
      <t>シエン</t>
    </rPh>
    <rPh sb="8" eb="10">
      <t>カサン</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</si>
  <si>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</si>
  <si>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</si>
  <si>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</si>
  <si>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</si>
  <si>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6" eb="8">
      <t>カサン</t>
    </rPh>
    <phoneticPr fontId="3"/>
  </si>
  <si>
    <t>準ユニットケア体制</t>
    <rPh sb="0" eb="1">
      <t>ジュン</t>
    </rPh>
    <rPh sb="7" eb="9">
      <t>タイセイ</t>
    </rPh>
    <phoneticPr fontId="3"/>
  </si>
  <si>
    <t>生活機能向上連携加算</t>
    <phoneticPr fontId="3"/>
  </si>
  <si>
    <t>３ 加算Ⅰ</t>
    <phoneticPr fontId="3"/>
  </si>
  <si>
    <t>２ 加算Ⅱ</t>
    <phoneticPr fontId="3"/>
  </si>
  <si>
    <t>１　介護福祉施設</t>
  </si>
  <si>
    <t>個別機能訓練加算</t>
    <rPh sb="0" eb="2">
      <t>コベツ</t>
    </rPh>
    <rPh sb="6" eb="8">
      <t>カサン</t>
    </rPh>
    <phoneticPr fontId="3"/>
  </si>
  <si>
    <t>５ 加算Ⅲ</t>
    <rPh sb="2" eb="4">
      <t>カサン</t>
    </rPh>
    <phoneticPr fontId="3"/>
  </si>
  <si>
    <t>介護福祉施設サービス</t>
    <rPh sb="4" eb="6">
      <t>シセツ</t>
    </rPh>
    <phoneticPr fontId="3"/>
  </si>
  <si>
    <t>２　経過的小規模介護福祉施設</t>
  </si>
  <si>
    <t>ADL維持等加算〔申出〕の有無</t>
  </si>
  <si>
    <t>３　ユニット型介護福祉施設</t>
  </si>
  <si>
    <t>若年性認知症入所者受入加算</t>
    <rPh sb="6" eb="9">
      <t>ニュウショシャ</t>
    </rPh>
    <rPh sb="9" eb="11">
      <t>ウケイレ</t>
    </rPh>
    <rPh sb="11" eb="13">
      <t>カサン</t>
    </rPh>
    <phoneticPr fontId="3"/>
  </si>
  <si>
    <t>４　経過的ユニット型小規模介護福祉施設</t>
  </si>
  <si>
    <t>２ 加算Ⅰ</t>
    <phoneticPr fontId="3"/>
  </si>
  <si>
    <t>３ 加算Ⅱ</t>
    <phoneticPr fontId="3"/>
  </si>
  <si>
    <t>栄養マネジメント強化体制</t>
    <rPh sb="0" eb="2">
      <t>エイヨウ</t>
    </rPh>
    <rPh sb="8" eb="10">
      <t>キョウカ</t>
    </rPh>
    <rPh sb="10" eb="12">
      <t>タイセイ</t>
    </rPh>
    <phoneticPr fontId="3"/>
  </si>
  <si>
    <t>療養食加算</t>
    <rPh sb="0" eb="2">
      <t>リョウヨウ</t>
    </rPh>
    <rPh sb="2" eb="3">
      <t>ショク</t>
    </rPh>
    <rPh sb="3" eb="5">
      <t>カサン</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</si>
  <si>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</si>
  <si>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</si>
  <si>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</si>
  <si>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認知症専門ケア加算</t>
    <rPh sb="0" eb="3">
      <t>ニンチショウ</t>
    </rPh>
    <rPh sb="3" eb="5">
      <t>センモン</t>
    </rPh>
    <rPh sb="7" eb="9">
      <t>カサン</t>
    </rPh>
    <phoneticPr fontId="3"/>
  </si>
  <si>
    <t>認知症チームケア推進加算</t>
    <phoneticPr fontId="3"/>
  </si>
  <si>
    <t>褥瘡マネジメント加算</t>
    <phoneticPr fontId="3"/>
  </si>
  <si>
    <t>生産性向上推進体制加算</t>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</si>
  <si>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</si>
  <si>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</si>
  <si>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</si>
  <si>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</si>
  <si>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（別紙２）</t>
    <rPh sb="1" eb="3">
      <t>ベッシ</t>
    </rPh>
    <phoneticPr fontId="3"/>
  </si>
  <si>
    <t>知事</t>
    <rPh sb="0" eb="2">
      <t>チジ</t>
    </rPh>
    <phoneticPr fontId="3"/>
  </si>
  <si>
    <t>殿</t>
    <rPh sb="0" eb="1">
      <t>ドノ</t>
    </rPh>
    <phoneticPr fontId="3"/>
  </si>
  <si>
    <t>所在地</t>
    <phoneticPr fontId="3"/>
  </si>
  <si>
    <t>事業所所在地市町村番号</t>
    <phoneticPr fontId="3"/>
  </si>
  <si>
    <t>主たる事務所の所在地</t>
    <phoneticPr fontId="3"/>
  </si>
  <si>
    <t>　　　　　</t>
    <phoneticPr fontId="3"/>
  </si>
  <si>
    <t>県</t>
    <rPh sb="0" eb="1">
      <t>ケン</t>
    </rPh>
    <phoneticPr fontId="3"/>
  </si>
  <si>
    <t>群市</t>
    <rPh sb="0" eb="1">
      <t>グン</t>
    </rPh>
    <rPh sb="1" eb="2">
      <t>シ</t>
    </rPh>
    <phoneticPr fontId="3"/>
  </si>
  <si>
    <t>法人の種別</t>
    <phoneticPr fontId="3"/>
  </si>
  <si>
    <t>事業所・施設の状況</t>
  </si>
  <si>
    <t>事業所・施設の名称</t>
    <phoneticPr fontId="3"/>
  </si>
  <si>
    <t>主たる事業所・施設の所在地</t>
    <phoneticPr fontId="3"/>
  </si>
  <si>
    <t>主たる事業所の所在地以外の場所で一部実施する場合の出張所等の所在地</t>
    <phoneticPr fontId="3"/>
  </si>
  <si>
    <t>届出を行う事業所・施設の種類</t>
  </si>
  <si>
    <t>指定居宅サービス</t>
  </si>
  <si>
    <t>1新規</t>
  </si>
  <si>
    <t>通所ﾘﾊﾋﾞﾘﾃｰｼｮﾝ</t>
    <phoneticPr fontId="3"/>
  </si>
  <si>
    <t>施設</t>
  </si>
  <si>
    <t>介護老人福祉施設</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</si>
  <si>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</si>
  <si>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</si>
  <si>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</si>
  <si>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</si>
  <si>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</si>
  <si>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</si>
  <si>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</si>
  <si>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</si>
  <si>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高齢者虐待防止措置実施の有無</t>
  </si>
  <si>
    <t>業務継続計画策定の有無</t>
  </si>
  <si>
    <t>認知症チームケア推進加算</t>
  </si>
  <si>
    <t>高齢者施設等感染対策向上加算Ⅰ</t>
  </si>
  <si>
    <t>高齢者施設等感染対策向上加算Ⅱ</t>
  </si>
  <si>
    <t>生産性向上推進体制加算</t>
  </si>
  <si>
    <t>特養34</t>
    <rPh sb="0" eb="2">
      <t>トクヨウ</t>
    </rPh>
    <phoneticPr fontId="3"/>
  </si>
  <si>
    <t>特養35</t>
    <rPh sb="0" eb="2">
      <t>トクヨウ</t>
    </rPh>
    <phoneticPr fontId="3"/>
  </si>
  <si>
    <t>特養36</t>
    <rPh sb="0" eb="2">
      <t>トクヨウ</t>
    </rPh>
    <phoneticPr fontId="3"/>
  </si>
  <si>
    <t>特養37</t>
    <rPh sb="0" eb="2">
      <t>トクヨウ</t>
    </rPh>
    <phoneticPr fontId="3"/>
  </si>
  <si>
    <t>特養38</t>
    <rPh sb="0" eb="2">
      <t>トクヨウ</t>
    </rPh>
    <phoneticPr fontId="3"/>
  </si>
  <si>
    <t>特養39</t>
    <rPh sb="0" eb="2">
      <t>トクヨウ</t>
    </rPh>
    <phoneticPr fontId="3"/>
  </si>
  <si>
    <t>（別紙37）</t>
    <phoneticPr fontId="3"/>
  </si>
  <si>
    <t>1　新規</t>
    <phoneticPr fontId="3"/>
  </si>
  <si>
    <t>2　変更</t>
    <phoneticPr fontId="3"/>
  </si>
  <si>
    <t>3　終了</t>
    <phoneticPr fontId="3"/>
  </si>
  <si>
    <t>1　介護老人福祉施設</t>
    <phoneticPr fontId="3"/>
  </si>
  <si>
    <t>2　地域密着型介護老人福祉施設</t>
    <phoneticPr fontId="3"/>
  </si>
  <si>
    <t>1　日常生活継続支援加算（Ⅰ）</t>
    <phoneticPr fontId="3"/>
  </si>
  <si>
    <t>2　日常生活継続支援加算（Ⅱ）</t>
    <phoneticPr fontId="3"/>
  </si>
  <si>
    <t>①に占める②の割合が
７０％以上</t>
    <rPh sb="2" eb="3">
      <t>シ</t>
    </rPh>
    <rPh sb="7" eb="8">
      <t>ワリ</t>
    </rPh>
    <rPh sb="8" eb="9">
      <t>ゴウ</t>
    </rPh>
    <rPh sb="14" eb="16">
      <t>イジョウ</t>
    </rPh>
    <phoneticPr fontId="3"/>
  </si>
  <si>
    <t>①に占める③の割合が
６５％以上</t>
    <rPh sb="2" eb="3">
      <t>シ</t>
    </rPh>
    <rPh sb="7" eb="8">
      <t>ワリ</t>
    </rPh>
    <rPh sb="8" eb="9">
      <t>ゴウ</t>
    </rPh>
    <rPh sb="14" eb="16">
      <t>イジョウ</t>
    </rPh>
    <phoneticPr fontId="3"/>
  </si>
  <si>
    <t>④に占める⑤の割合が
１５％以上</t>
    <rPh sb="2" eb="3">
      <t>シ</t>
    </rPh>
    <rPh sb="7" eb="8">
      <t>ワリ</t>
    </rPh>
    <rPh sb="8" eb="9">
      <t>ゴウ</t>
    </rPh>
    <rPh sb="14" eb="16">
      <t>イジョウ</t>
    </rPh>
    <phoneticPr fontId="3"/>
  </si>
  <si>
    <t>（別紙37－２）</t>
    <rPh sb="1" eb="3">
      <t>ベッシ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</si>
  <si>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</si>
  <si>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37（2）</t>
    <phoneticPr fontId="3"/>
  </si>
  <si>
    <t>（別紙25－2）</t>
    <phoneticPr fontId="3"/>
  </si>
  <si>
    <t>1　看護体制加算（Ⅰ）イ</t>
    <phoneticPr fontId="3"/>
  </si>
  <si>
    <t>2　看護体制加算（Ⅰ）ロ</t>
    <phoneticPr fontId="3"/>
  </si>
  <si>
    <t>3　看護体制加算（Ⅱ）イ</t>
    <phoneticPr fontId="3"/>
  </si>
  <si>
    <t>4　看護体制加算（Ⅱ）ロ</t>
    <phoneticPr fontId="3"/>
  </si>
  <si>
    <t>25（2）</t>
    <phoneticPr fontId="3"/>
  </si>
  <si>
    <t>（別紙27）</t>
    <phoneticPr fontId="3"/>
  </si>
  <si>
    <t>3　短期入所生活介護</t>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</si>
  <si>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</si>
  <si>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（別紙38）</t>
    <rPh sb="1" eb="3">
      <t>ベッシ</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</si>
  <si>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</si>
  <si>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</si>
  <si>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</si>
  <si>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</si>
  <si>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（別紙39）</t>
    <rPh sb="1" eb="3">
      <t>ベッシ</t>
    </rPh>
    <phoneticPr fontId="3"/>
  </si>
  <si>
    <t>（別紙34）</t>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</si>
  <si>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</si>
  <si>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</si>
  <si>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</si>
  <si>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</si>
  <si>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</si>
  <si>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</si>
  <si>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</si>
  <si>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</si>
  <si>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</si>
  <si>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</si>
  <si>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</si>
  <si>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</si>
  <si>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</si>
  <si>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</si>
  <si>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</si>
  <si>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</si>
  <si>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</si>
  <si>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</si>
  <si>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</si>
  <si>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</si>
  <si>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</si>
  <si>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</si>
  <si>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</si>
  <si>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</si>
  <si>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</si>
  <si>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</si>
  <si>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</si>
  <si>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</si>
  <si>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</si>
  <si>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</si>
  <si>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</si>
  <si>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</si>
  <si>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</si>
  <si>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</si>
  <si>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</si>
  <si>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</si>
  <si>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</si>
  <si>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備考</t>
    <rPh sb="0" eb="2">
      <t>ビコウ</t>
    </rPh>
    <phoneticPr fontId="3"/>
  </si>
  <si>
    <t>　要件を満たすことが分かる根拠書類を準備し、指定権者からの求めがあった場合には、速やかに提出</t>
    <phoneticPr fontId="3"/>
  </si>
  <si>
    <t>認知症チームケア推進加算に係る届出書</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</si>
  <si>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</si>
  <si>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</si>
  <si>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</si>
  <si>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</si>
  <si>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</si>
  <si>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</si>
  <si>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</si>
  <si>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</si>
  <si>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</si>
  <si>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</si>
  <si>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</si>
  <si>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</si>
  <si>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</si>
  <si>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</si>
  <si>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</si>
  <si>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</si>
  <si>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</si>
  <si>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</si>
  <si>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</si>
  <si>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</si>
  <si>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</si>
  <si>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</si>
  <si>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</si>
  <si>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</si>
  <si>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</si>
  <si>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</si>
  <si>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</si>
  <si>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</si>
  <si>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</si>
  <si>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</si>
  <si>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</si>
  <si>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</si>
  <si>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</si>
  <si>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</si>
  <si>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</si>
  <si>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</si>
  <si>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備考３</t>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</si>
  <si>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</si>
  <si>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</si>
  <si>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</si>
  <si>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</si>
  <si>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</si>
  <si>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高齢者施設等感染対策向上加算に係る届出書</t>
    <phoneticPr fontId="3"/>
  </si>
  <si>
    <t>（別紙28）</t>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</si>
  <si>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</si>
  <si>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</si>
  <si>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</si>
  <si>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</si>
  <si>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</si>
  <si>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</si>
  <si>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</si>
  <si>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</si>
  <si>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</si>
  <si>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</si>
  <si>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</si>
  <si>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</si>
  <si>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</si>
  <si>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</si>
  <si>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</si>
  <si>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</si>
  <si>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</si>
  <si>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</si>
  <si>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</si>
  <si>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</si>
  <si>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</si>
  <si>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</si>
  <si>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</si>
  <si>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</si>
  <si>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</si>
  <si>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</si>
  <si>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</si>
  <si>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</si>
  <si>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</si>
  <si>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</si>
  <si>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</si>
  <si>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</si>
  <si>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</si>
  <si>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</si>
  <si>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</si>
  <si>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</si>
  <si>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</si>
  <si>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</si>
  <si>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</si>
  <si>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</si>
  <si>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</si>
  <si>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</si>
  <si>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</si>
  <si>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</si>
  <si>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</si>
  <si>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</si>
  <si>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</si>
  <si>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生産性向上推進体制加算に係る届出書</t>
    <phoneticPr fontId="3"/>
  </si>
  <si>
    <t>（別紙１4－４）</t>
    <phoneticPr fontId="3"/>
  </si>
  <si>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</si>
  <si>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</si>
  <si>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</si>
  <si>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</si>
  <si>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</si>
  <si>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</si>
  <si>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</si>
  <si>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</si>
  <si>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</si>
  <si>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</si>
  <si>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</si>
  <si>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</si>
  <si>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r>
      <t>　※（地域密着型）介護老人福祉施設、介護老人保健施設、</t>
    </r>
    <r>
      <rPr>
        <sz val="8"/>
        <rFont val="HGSｺﾞｼｯｸM"/>
        <family val="3"/>
        <charset val="128"/>
      </rPr>
      <t>介護医療院は記載</t>
    </r>
    <rPh sb="33" eb="35">
      <t>キサイ</t>
    </rPh>
    <phoneticPr fontId="3"/>
  </si>
  <si>
    <t>要件を満たすことが分かる根拠書類を準備し、指定権者からの求めがあった場合には、速やかに提出すること。</t>
    <phoneticPr fontId="3"/>
  </si>
  <si>
    <t>14（4）</t>
    <phoneticPr fontId="3"/>
  </si>
  <si>
    <t>（別紙12-２）</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</si>
  <si>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</si>
  <si>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</si>
  <si>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</si>
  <si>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</si>
  <si>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</si>
  <si>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</si>
  <si>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</si>
  <si>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</si>
  <si>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</si>
  <si>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</si>
  <si>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12(2)</t>
    <phoneticPr fontId="3"/>
  </si>
  <si>
    <t>（別紙５）</t>
    <phoneticPr fontId="3"/>
  </si>
  <si>
    <t>事業所・施設名</t>
    <rPh sb="0" eb="3">
      <t>ジギョウショ</t>
    </rPh>
    <rPh sb="4" eb="6">
      <t>シセツ</t>
    </rPh>
    <rPh sb="6" eb="7">
      <t>メイ</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</si>
  <si>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</si>
  <si>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　1　割引率等</t>
    <rPh sb="3" eb="6">
      <t>ワリビキリツ</t>
    </rPh>
    <rPh sb="6" eb="7">
      <t>トウ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</si>
  <si>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</si>
  <si>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</si>
  <si>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</si>
  <si>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（例）10</t>
    <rPh sb="1" eb="2">
      <t>レイ</t>
    </rPh>
    <phoneticPr fontId="3"/>
  </si>
  <si>
    <t>％</t>
  </si>
  <si>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</si>
  <si>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</si>
  <si>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</si>
  <si>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</si>
  <si>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</si>
  <si>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</si>
  <si>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</si>
  <si>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割引</t>
    <rPh sb="0" eb="2">
      <t>ワリビキ</t>
    </rPh>
    <phoneticPr fontId="3"/>
  </si>
  <si>
    <t>指定居宅サービス事業者等による介護給付費の割引に係る割引率の設定について</t>
    <phoneticPr fontId="3"/>
  </si>
  <si>
    <t>　　　　（記載例1―勤務時間 ①8：30～17：00、②16：30～1：00、③0：30～9：00、④休日）</t>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</si>
  <si>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</si>
  <si>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（別紙７ー３）</t>
    <rPh sb="1" eb="3">
      <t>ベッシ</t>
    </rPh>
    <phoneticPr fontId="3"/>
  </si>
  <si>
    <t>2　地域密着型介護老人福祉施設</t>
  </si>
  <si>
    <t>3　短期入所生活介護</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</si>
  <si>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</si>
  <si>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</si>
  <si>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7(3)</t>
    <phoneticPr fontId="3"/>
  </si>
  <si>
    <t>安全対策に係る外部における研修の修了証（写）</t>
    <rPh sb="0" eb="2">
      <t>アンゼン</t>
    </rPh>
    <rPh sb="2" eb="4">
      <t>タイサク</t>
    </rPh>
    <rPh sb="5" eb="6">
      <t>カカ</t>
    </rPh>
    <rPh sb="7" eb="9">
      <t>ガイブ</t>
    </rPh>
    <rPh sb="13" eb="15">
      <t>ケンシュウ</t>
    </rPh>
    <rPh sb="16" eb="18">
      <t>シュウリョウ</t>
    </rPh>
    <rPh sb="18" eb="19">
      <t>ショウ</t>
    </rPh>
    <rPh sb="20" eb="21">
      <t>シャ</t>
    </rPh>
    <phoneticPr fontId="3"/>
  </si>
  <si>
    <r>
      <t>（別紙７－２</t>
    </r>
    <r>
      <rPr>
        <sz val="11"/>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</si>
  <si>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</si>
  <si>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</si>
  <si>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</si>
  <si>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</si>
  <si>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介護職員</t>
  </si>
  <si>
    <t>２．有資格者等の割合の算定期間</t>
    <rPh sb="2" eb="6">
      <t>ユウシカクシャ</t>
    </rPh>
    <rPh sb="6" eb="7">
      <t>トウ</t>
    </rPh>
    <rPh sb="8" eb="10">
      <t>ワリアイ</t>
    </rPh>
    <rPh sb="11" eb="13">
      <t>サンテイ</t>
    </rPh>
    <rPh sb="13" eb="15">
      <t>キカン</t>
    </rPh>
    <phoneticPr fontId="3"/>
  </si>
  <si>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</si>
  <si>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</si>
  <si>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</si>
  <si>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</si>
  <si>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</si>
  <si>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</si>
  <si>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</si>
  <si>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</si>
  <si>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令和　　年</t>
    <rPh sb="0" eb="2">
      <t>レイワ</t>
    </rPh>
    <rPh sb="4" eb="5">
      <t>ネン</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</si>
  <si>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</si>
  <si>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</si>
  <si>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</si>
  <si>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</si>
  <si>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</si>
  <si>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</si>
  <si>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</si>
  <si>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勤続年数７年以上の職員</t>
    <rPh sb="0" eb="2">
      <t>キンゾク</t>
    </rPh>
    <rPh sb="2" eb="4">
      <t>ネンスウ</t>
    </rPh>
    <rPh sb="5" eb="6">
      <t>ネン</t>
    </rPh>
    <rPh sb="6" eb="8">
      <t>イジョウ</t>
    </rPh>
    <rPh sb="9" eb="11">
      <t>ショクイン</t>
    </rPh>
    <phoneticPr fontId="3"/>
  </si>
  <si>
    <t>-</t>
    <phoneticPr fontId="3"/>
  </si>
  <si>
    <t>合計</t>
    <rPh sb="0" eb="2">
      <t>ゴウケイ</t>
    </rPh>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</si>
  <si>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</si>
  <si>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</si>
  <si>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</si>
  <si>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</si>
  <si>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</si>
  <si>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</si>
  <si>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</si>
  <si>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</si>
  <si>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</si>
  <si>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</si>
  <si>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</si>
  <si>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</si>
  <si>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</si>
  <si>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</si>
  <si>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</si>
  <si>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</si>
  <si>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</si>
  <si>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</si>
  <si>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</si>
  <si>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</si>
  <si>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</si>
  <si>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</si>
  <si>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</si>
  <si>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</si>
  <si>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</si>
  <si>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</si>
  <si>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</si>
  <si>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</si>
  <si>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</si>
  <si>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◎勤務形態一覧は、看護・介護職員分（算定月）</t>
    <phoneticPr fontId="3"/>
  </si>
  <si>
    <t>特養40</t>
    <rPh sb="0" eb="2">
      <t>トクヨウ</t>
    </rPh>
    <phoneticPr fontId="3"/>
  </si>
  <si>
    <t>◎勤務形態一覧は、看護職員分（算定月）</t>
    <rPh sb="9" eb="11">
      <t>カンゴ</t>
    </rPh>
    <rPh sb="11" eb="13">
      <t>ショクイン</t>
    </rPh>
    <rPh sb="13" eb="14">
      <t>ブン</t>
    </rPh>
    <phoneticPr fontId="3"/>
  </si>
  <si>
    <t>◎勤務形態一覧は、職員全員分</t>
    <phoneticPr fontId="3"/>
  </si>
  <si>
    <t>◎勤務形態一覧は、栄養士・管理栄養士分（変更した月とその前月分）</t>
    <rPh sb="9" eb="12">
      <t>エイヨウシ</t>
    </rPh>
    <rPh sb="13" eb="15">
      <t>カンリ</t>
    </rPh>
    <rPh sb="15" eb="18">
      <t>エイヨウシ</t>
    </rPh>
    <rPh sb="20" eb="22">
      <t>ヘンコウ</t>
    </rPh>
    <rPh sb="24" eb="25">
      <t>ツキ</t>
    </rPh>
    <rPh sb="28" eb="31">
      <t>ゼンゲツブン</t>
    </rPh>
    <phoneticPr fontId="3"/>
  </si>
  <si>
    <t>(介護予防訪問ﾘﾊﾋﾞﾘﾃｰｼｮﾝ)</t>
  </si>
  <si>
    <t>介護老人保健施設、介護医療院(みなし事業所)</t>
    <phoneticPr fontId="3"/>
  </si>
  <si>
    <t>病院･診療所</t>
    <phoneticPr fontId="3"/>
  </si>
  <si>
    <t>介護事業者課
居宅グループ
０６－６９４４－７０９５</t>
  </si>
  <si>
    <t>介護事業者課
居宅グループ
０６－６９４４－７０９５</t>
    <phoneticPr fontId="3"/>
  </si>
  <si>
    <t>介護医療院</t>
  </si>
  <si>
    <t>３ 加算Ⅰ</t>
    <rPh sb="2" eb="4">
      <t>カサン</t>
    </rPh>
    <phoneticPr fontId="3"/>
  </si>
  <si>
    <t>４ 加算Ⅱ</t>
    <rPh sb="2" eb="4">
      <t>カサン</t>
    </rPh>
    <phoneticPr fontId="3"/>
  </si>
  <si>
    <t>高齢者施設等感染対策向上加算Ⅰ</t>
    <phoneticPr fontId="3"/>
  </si>
  <si>
    <t>高齢者施設等感染対策向上加算Ⅱ</t>
    <phoneticPr fontId="3"/>
  </si>
  <si>
    <t>（別紙２）</t>
    <phoneticPr fontId="3"/>
  </si>
  <si>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3"/>
  </si>
  <si>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3"/>
  </si>
  <si>
    <t>導入時期</t>
    <rPh sb="0" eb="2">
      <t>ドウニュウ</t>
    </rPh>
    <phoneticPr fontId="3"/>
  </si>
  <si>
    <t>令和　年　月</t>
    <rPh sb="0" eb="2">
      <t>レイワ</t>
    </rPh>
    <rPh sb="3" eb="4">
      <t>ネン</t>
    </rPh>
    <rPh sb="5" eb="6">
      <t>ツキ</t>
    </rPh>
    <phoneticPr fontId="3"/>
  </si>
  <si>
    <t>１　利用者の満足度等の変化</t>
    <rPh sb="9" eb="10">
      <t>ナド</t>
    </rPh>
    <phoneticPr fontId="3"/>
  </si>
  <si>
    <t>事前調査時期</t>
    <rPh sb="0" eb="2">
      <t>ジゼン</t>
    </rPh>
    <phoneticPr fontId="3"/>
  </si>
  <si>
    <t>令和　年　月</t>
    <phoneticPr fontId="3"/>
  </si>
  <si>
    <t>事後調査時期</t>
    <rPh sb="0" eb="2">
      <t>ジゴ</t>
    </rPh>
    <rPh sb="2" eb="4">
      <t>チョウサ</t>
    </rPh>
    <phoneticPr fontId="3"/>
  </si>
  <si>
    <t>　① －１　WHOー５（事前調査）　調査対象人数　人</t>
    <rPh sb="12" eb="14">
      <t>ジゼン</t>
    </rPh>
    <rPh sb="14" eb="16">
      <t>チョウサ</t>
    </rPh>
    <phoneticPr fontId="3"/>
  </si>
  <si>
    <t>点数区分</t>
    <rPh sb="0" eb="2">
      <t>テンスウ</t>
    </rPh>
    <rPh sb="2" eb="4">
      <t>クブン</t>
    </rPh>
    <phoneticPr fontId="3"/>
  </si>
  <si>
    <t>0点～6点</t>
    <rPh sb="1" eb="2">
      <t>テン</t>
    </rPh>
    <rPh sb="4" eb="5">
      <t>テン</t>
    </rPh>
    <phoneticPr fontId="3"/>
  </si>
  <si>
    <t>7点～13点</t>
    <rPh sb="1" eb="2">
      <t>テン</t>
    </rPh>
    <rPh sb="5" eb="6">
      <t>テン</t>
    </rPh>
    <phoneticPr fontId="3"/>
  </si>
  <si>
    <t>14点～19点</t>
    <rPh sb="2" eb="3">
      <t>テン</t>
    </rPh>
    <rPh sb="6" eb="7">
      <t>テン</t>
    </rPh>
    <phoneticPr fontId="3"/>
  </si>
  <si>
    <t>20点～25点</t>
    <rPh sb="2" eb="3">
      <t>テン</t>
    </rPh>
    <rPh sb="6" eb="7">
      <t>テン</t>
    </rPh>
    <phoneticPr fontId="3"/>
  </si>
  <si>
    <t>人数</t>
    <rPh sb="0" eb="2">
      <t>ニンズウ</t>
    </rPh>
    <phoneticPr fontId="3"/>
  </si>
  <si>
    <t>　① －２　WHOー５（事後調査）　調査対象人数　人</t>
    <rPh sb="12" eb="14">
      <t>ジゴ</t>
    </rPh>
    <rPh sb="14" eb="16">
      <t>チョウサ</t>
    </rPh>
    <phoneticPr fontId="3"/>
  </si>
  <si>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3"/>
  </si>
  <si>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3"/>
  </si>
  <si>
    <t>7点～14点</t>
    <rPh sb="1" eb="2">
      <t>テン</t>
    </rPh>
    <rPh sb="5" eb="6">
      <t>テン</t>
    </rPh>
    <phoneticPr fontId="3"/>
  </si>
  <si>
    <t>15点～21点</t>
    <rPh sb="2" eb="3">
      <t>テン</t>
    </rPh>
    <rPh sb="6" eb="7">
      <t>テン</t>
    </rPh>
    <phoneticPr fontId="3"/>
  </si>
  <si>
    <t>22点～28点</t>
    <rPh sb="2" eb="3">
      <t>テン</t>
    </rPh>
    <rPh sb="6" eb="7">
      <t>テン</t>
    </rPh>
    <phoneticPr fontId="3"/>
  </si>
  <si>
    <t>29点～35点</t>
    <rPh sb="2" eb="3">
      <t>テン</t>
    </rPh>
    <rPh sb="6" eb="7">
      <t>テン</t>
    </rPh>
    <phoneticPr fontId="3"/>
  </si>
  <si>
    <t>　② －２　生活・認知機能尺度（事後調査）　調査対象人数　人</t>
    <rPh sb="6" eb="8">
      <t>セイカツ</t>
    </rPh>
    <rPh sb="9" eb="11">
      <t>ニンチ</t>
    </rPh>
    <rPh sb="11" eb="13">
      <t>キノウ</t>
    </rPh>
    <rPh sb="13" eb="15">
      <t>シャクド</t>
    </rPh>
    <rPh sb="16" eb="18">
      <t>ジゴ</t>
    </rPh>
    <rPh sb="18" eb="20">
      <t>チョウサ</t>
    </rPh>
    <phoneticPr fontId="3"/>
  </si>
  <si>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3"/>
  </si>
  <si>
    <t>２　総業務時間及び当該時間に含まれる超過勤務時間の変化　調査対象人数　人</t>
    <phoneticPr fontId="3"/>
  </si>
  <si>
    <t>対象期間</t>
    <rPh sb="0" eb="2">
      <t>タイショウ</t>
    </rPh>
    <rPh sb="2" eb="4">
      <t>キカン</t>
    </rPh>
    <phoneticPr fontId="3"/>
  </si>
  <si>
    <t>(事前)令和　年　月</t>
    <rPh sb="1" eb="3">
      <t>ジゼン</t>
    </rPh>
    <phoneticPr fontId="3"/>
  </si>
  <si>
    <t>(事後)令和　年　月</t>
    <rPh sb="1" eb="3">
      <t>ジゴ</t>
    </rPh>
    <phoneticPr fontId="3"/>
  </si>
  <si>
    <t>総業務時間</t>
    <phoneticPr fontId="3"/>
  </si>
  <si>
    <t>(事前)上表と同じ</t>
    <rPh sb="1" eb="3">
      <t>ジゼン</t>
    </rPh>
    <rPh sb="4" eb="6">
      <t>ジョウヒョウ</t>
    </rPh>
    <rPh sb="7" eb="8">
      <t>オナ</t>
    </rPh>
    <phoneticPr fontId="3"/>
  </si>
  <si>
    <t>(事後)上表と同じ</t>
    <rPh sb="1" eb="3">
      <t>ジゴ</t>
    </rPh>
    <rPh sb="4" eb="6">
      <t>ジョウヒョウ</t>
    </rPh>
    <rPh sb="7" eb="8">
      <t>オナ</t>
    </rPh>
    <phoneticPr fontId="3"/>
  </si>
  <si>
    <t>超過勤務時間</t>
    <rPh sb="0" eb="2">
      <t>チョウカ</t>
    </rPh>
    <rPh sb="2" eb="4">
      <t>キンム</t>
    </rPh>
    <rPh sb="4" eb="6">
      <t>ジカン</t>
    </rPh>
    <phoneticPr fontId="3"/>
  </si>
  <si>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3"/>
  </si>
  <si>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3"/>
  </si>
  <si>
    <t>３　年次有給休暇の取得状況　調査対象人数　人</t>
    <phoneticPr fontId="3"/>
  </si>
  <si>
    <t>(事前)令和　年　月～　月</t>
    <rPh sb="1" eb="3">
      <t>ジゼン</t>
    </rPh>
    <rPh sb="12" eb="13">
      <t>ツキ</t>
    </rPh>
    <phoneticPr fontId="3"/>
  </si>
  <si>
    <t>(事後)令和　年　月～　月</t>
    <rPh sb="1" eb="3">
      <t>ジゴ</t>
    </rPh>
    <phoneticPr fontId="3"/>
  </si>
  <si>
    <t>年次有給休暇取得日数</t>
    <rPh sb="0" eb="2">
      <t>ネンジ</t>
    </rPh>
    <rPh sb="2" eb="4">
      <t>ユウキュウ</t>
    </rPh>
    <rPh sb="4" eb="6">
      <t>キュウカ</t>
    </rPh>
    <rPh sb="6" eb="8">
      <t>シュトク</t>
    </rPh>
    <rPh sb="8" eb="10">
      <t>ニッスウ</t>
    </rPh>
    <phoneticPr fontId="3"/>
  </si>
  <si>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3"/>
  </si>
  <si>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3"/>
  </si>
  <si>
    <t>備考　詳細については、別途通知（「生産性向上推進体制加算に関する基本的考え方並びに事務処理手順及び様式例等の提示</t>
    <rPh sb="0" eb="2">
      <t>ビコウ</t>
    </rPh>
    <rPh sb="51" eb="52">
      <t>レイ</t>
    </rPh>
    <phoneticPr fontId="3"/>
  </si>
  <si>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3"/>
  </si>
  <si>
    <t>　　  組の継続が必要であることに留意すること。</t>
    <phoneticPr fontId="3"/>
  </si>
  <si>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3"/>
  </si>
  <si>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3"/>
  </si>
  <si>
    <t>　　　出すること。</t>
    <rPh sb="3" eb="4">
      <t>デ</t>
    </rPh>
    <phoneticPr fontId="3"/>
  </si>
  <si>
    <t>「認知症介護指導者養成研修」及び「認知症チームケア推進研修」の修了証（写）（※Ⅰを算定する場合のみ）
「認知症介護実践リーダー研修」及び「認知症チームケア推進研修」の修了証（写）（※Ⅱを算定する場合のみ）</t>
    <rPh sb="14" eb="15">
      <t>オヨ</t>
    </rPh>
    <rPh sb="31" eb="34">
      <t>シュウリョウショウ</t>
    </rPh>
    <rPh sb="35" eb="36">
      <t>ウツ</t>
    </rPh>
    <rPh sb="41" eb="43">
      <t>サンテイ</t>
    </rPh>
    <rPh sb="45" eb="47">
      <t>バアイ</t>
    </rPh>
    <rPh sb="66" eb="67">
      <t>オヨ</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</si>
  <si>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</si>
  <si>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</si>
  <si>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</si>
  <si>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</si>
  <si>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</si>
  <si>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</si>
  <si>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</si>
  <si>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</si>
  <si>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</si>
  <si>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</si>
  <si>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</si>
  <si>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</si>
  <si>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</si>
  <si>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</si>
  <si>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</si>
  <si>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</si>
  <si>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</si>
  <si>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</si>
  <si>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</si>
  <si>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平面図</t>
    <rPh sb="0" eb="3">
      <t>ヘイメンズ</t>
    </rPh>
    <phoneticPr fontId="3"/>
  </si>
  <si>
    <t>◎勤務形態一覧は、職員全員分（算定月）、参考1「人員基準確認表」、参考2「夜勤職員配置及び夜勤職員配置加算算定表」、ユニットリーダー研修修了証（写）、室別面積表</t>
    <rPh sb="20" eb="22">
      <t>サンコウ</t>
    </rPh>
    <rPh sb="24" eb="26">
      <t>ジンイン</t>
    </rPh>
    <rPh sb="26" eb="28">
      <t>キジュン</t>
    </rPh>
    <rPh sb="28" eb="30">
      <t>カクニン</t>
    </rPh>
    <rPh sb="30" eb="31">
      <t>ヒョウ</t>
    </rPh>
    <rPh sb="33" eb="35">
      <t>サンコウ</t>
    </rPh>
    <rPh sb="37" eb="39">
      <t>ヤキン</t>
    </rPh>
    <rPh sb="39" eb="41">
      <t>ショクイン</t>
    </rPh>
    <rPh sb="41" eb="43">
      <t>ハイチ</t>
    </rPh>
    <rPh sb="43" eb="44">
      <t>オヨ</t>
    </rPh>
    <rPh sb="45" eb="47">
      <t>ヤキン</t>
    </rPh>
    <rPh sb="47" eb="49">
      <t>ショクイン</t>
    </rPh>
    <rPh sb="49" eb="51">
      <t>ハイチ</t>
    </rPh>
    <rPh sb="51" eb="53">
      <t>カサン</t>
    </rPh>
    <rPh sb="53" eb="55">
      <t>サンテイ</t>
    </rPh>
    <rPh sb="55" eb="56">
      <t>ヒョウ</t>
    </rPh>
    <rPh sb="66" eb="68">
      <t>ケンシュウ</t>
    </rPh>
    <rPh sb="68" eb="70">
      <t>シュウリョウ</t>
    </rPh>
    <rPh sb="70" eb="71">
      <t>ショウ</t>
    </rPh>
    <rPh sb="72" eb="73">
      <t>ウツ</t>
    </rPh>
    <rPh sb="75" eb="76">
      <t>ベッシツ</t>
    </rPh>
    <rPh sb="76" eb="77">
      <t>ベツ</t>
    </rPh>
    <rPh sb="77" eb="79">
      <t>メンセキ</t>
    </rPh>
    <rPh sb="79" eb="80">
      <t>ヒョウ</t>
    </rPh>
    <phoneticPr fontId="3"/>
  </si>
  <si>
    <t>※平面図は利用する個室を確認するため</t>
    <rPh sb="1" eb="4">
      <t>ヘイメンズ</t>
    </rPh>
    <rPh sb="5" eb="7">
      <t>リヨウ</t>
    </rPh>
    <rPh sb="9" eb="11">
      <t>コシツ</t>
    </rPh>
    <rPh sb="12" eb="14">
      <t>カクニン</t>
    </rPh>
    <phoneticPr fontId="3"/>
  </si>
  <si>
    <t>◎勤務形態一覧は、職員全員分（算定月）、参考1「人員基準確認表」、ユニットリーダー研修修了証（写）、室別面積表</t>
    <rPh sb="20" eb="22">
      <t>サンコウ</t>
    </rPh>
    <rPh sb="24" eb="26">
      <t>ジンイン</t>
    </rPh>
    <rPh sb="26" eb="28">
      <t>キジュン</t>
    </rPh>
    <rPh sb="28" eb="30">
      <t>カクニン</t>
    </rPh>
    <rPh sb="30" eb="31">
      <t>ヒョウ</t>
    </rPh>
    <rPh sb="47" eb="48">
      <t>ウツ</t>
    </rPh>
    <phoneticPr fontId="3"/>
  </si>
  <si>
    <t>介護老人保健施設、介護医療院(みなし事業所)</t>
    <rPh sb="9" eb="11">
      <t>カイゴ</t>
    </rPh>
    <rPh sb="11" eb="13">
      <t>イリョウ</t>
    </rPh>
    <rPh sb="13" eb="14">
      <t>イン</t>
    </rPh>
    <phoneticPr fontId="3"/>
  </si>
  <si>
    <t>◎勤務形態一覧は、医師分（算定月）、医師の免許証（写）</t>
    <phoneticPr fontId="3"/>
  </si>
  <si>
    <t>◎勤務形態一覧は、医師分（算定月）、医師の免許証（写）、精神科を担当することを確認できる書類（精神保健指定医の指定証、履歴書等）</t>
    <phoneticPr fontId="3"/>
  </si>
  <si>
    <t>従業者の勤務の体制及び勤務形態一覧表（予定/実績）</t>
    <rPh sb="19" eb="21">
      <t>ヨテイ</t>
    </rPh>
    <rPh sb="22" eb="24">
      <t>ジッセキ</t>
    </rPh>
    <phoneticPr fontId="62"/>
  </si>
  <si>
    <t>※当該一覧の記載事項は、下部にありますので作成の際にご確認ください。</t>
    <rPh sb="1" eb="3">
      <t>トウガイ</t>
    </rPh>
    <rPh sb="3" eb="5">
      <t>イチラン</t>
    </rPh>
    <rPh sb="6" eb="8">
      <t>キサイ</t>
    </rPh>
    <rPh sb="8" eb="10">
      <t>ジコウ</t>
    </rPh>
    <rPh sb="12" eb="14">
      <t>カブ</t>
    </rPh>
    <rPh sb="21" eb="23">
      <t>サクセイ</t>
    </rPh>
    <rPh sb="24" eb="25">
      <t>サイ</t>
    </rPh>
    <rPh sb="27" eb="29">
      <t>カクニン</t>
    </rPh>
    <phoneticPr fontId="62"/>
  </si>
  <si>
    <t>別紙7</t>
    <rPh sb="0" eb="2">
      <t>ベッシ</t>
    </rPh>
    <phoneticPr fontId="3"/>
  </si>
  <si>
    <t>（令和</t>
    <rPh sb="1" eb="3">
      <t>レイワ</t>
    </rPh>
    <phoneticPr fontId="3"/>
  </si>
  <si>
    <t>年</t>
    <phoneticPr fontId="3"/>
  </si>
  <si>
    <t>月分）</t>
    <phoneticPr fontId="3"/>
  </si>
  <si>
    <t>A</t>
  </si>
  <si>
    <t>月始め日</t>
    <rPh sb="0" eb="1">
      <t>ツキ</t>
    </rPh>
    <rPh sb="1" eb="2">
      <t>ハジ</t>
    </rPh>
    <rPh sb="3" eb="4">
      <t>ヒ</t>
    </rPh>
    <phoneticPr fontId="62"/>
  </si>
  <si>
    <t>Ｂ</t>
  </si>
  <si>
    <t>Ｃ</t>
  </si>
  <si>
    <t>Ｄ</t>
  </si>
  <si>
    <t>勤務形態：Ａ常勤専従、Ｂ常勤兼務、Ｃ常勤以外専従、Ｄ常勤以外兼務</t>
    <rPh sb="20" eb="22">
      <t>イガイ</t>
    </rPh>
    <rPh sb="28" eb="30">
      <t>イガイ</t>
    </rPh>
    <rPh sb="30" eb="32">
      <t>ケンム</t>
    </rPh>
    <phoneticPr fontId="62"/>
  </si>
  <si>
    <t>常勤の従業者が月・週に勤務すべき時間数→</t>
    <rPh sb="7" eb="8">
      <t>ツキ</t>
    </rPh>
    <phoneticPr fontId="62"/>
  </si>
  <si>
    <t>勤務形態</t>
    <rPh sb="2" eb="4">
      <t>ケイタイ</t>
    </rPh>
    <phoneticPr fontId="3"/>
  </si>
  <si>
    <t>第　　１　　週</t>
    <phoneticPr fontId="3"/>
  </si>
  <si>
    <t>第　　２　　週</t>
    <phoneticPr fontId="3"/>
  </si>
  <si>
    <t>第　　３　　週</t>
    <phoneticPr fontId="3"/>
  </si>
  <si>
    <t>第　　４　　週</t>
    <phoneticPr fontId="3"/>
  </si>
  <si>
    <t>４週の合計※カッコ内は月合計</t>
    <rPh sb="9" eb="10">
      <t>ナイ</t>
    </rPh>
    <rPh sb="11" eb="12">
      <t>ツキ</t>
    </rPh>
    <rPh sb="12" eb="14">
      <t>ゴウケイ</t>
    </rPh>
    <phoneticPr fontId="62"/>
  </si>
  <si>
    <t>週平均</t>
  </si>
  <si>
    <t>常勤換算後の人数
（４週の合計から算出）</t>
    <rPh sb="11" eb="12">
      <t>シュウ</t>
    </rPh>
    <rPh sb="13" eb="15">
      <t>ゴウケイ</t>
    </rPh>
    <rPh sb="17" eb="19">
      <t>サンシュツ</t>
    </rPh>
    <phoneticPr fontId="62"/>
  </si>
  <si>
    <t>職　　種</t>
  </si>
  <si>
    <t>氏　　名</t>
  </si>
  <si>
    <t>日</t>
    <rPh sb="0" eb="1">
      <t>ヒ</t>
    </rPh>
    <phoneticPr fontId="62"/>
  </si>
  <si>
    <t>の勤務</t>
  </si>
  <si>
    <t>曜日</t>
    <rPh sb="0" eb="2">
      <t>ヨウビ</t>
    </rPh>
    <phoneticPr fontId="62"/>
  </si>
  <si>
    <t>時間</t>
  </si>
  <si>
    <t>職種</t>
    <rPh sb="0" eb="2">
      <t>ショクシュ</t>
    </rPh>
    <phoneticPr fontId="62"/>
  </si>
  <si>
    <t>形態</t>
    <rPh sb="0" eb="2">
      <t>ケイタイ</t>
    </rPh>
    <phoneticPr fontId="62"/>
  </si>
  <si>
    <t>①AB</t>
    <phoneticPr fontId="62"/>
  </si>
  <si>
    <t>②換算</t>
    <rPh sb="1" eb="3">
      <t>カンザン</t>
    </rPh>
    <phoneticPr fontId="62"/>
  </si>
  <si>
    <t>③CD</t>
    <phoneticPr fontId="62"/>
  </si>
  <si>
    <t>1)</t>
    <phoneticPr fontId="62"/>
  </si>
  <si>
    <t>予/実</t>
    <rPh sb="0" eb="1">
      <t>ヨ</t>
    </rPh>
    <rPh sb="2" eb="3">
      <t>ジツ</t>
    </rPh>
    <phoneticPr fontId="62"/>
  </si>
  <si>
    <t>時間</t>
    <rPh sb="0" eb="2">
      <t>ジカン</t>
    </rPh>
    <phoneticPr fontId="62"/>
  </si>
  <si>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</si>
  <si>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</si>
  <si>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</si>
  <si>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</si>
  <si>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</si>
  <si>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</si>
  <si>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</si>
  <si>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</si>
  <si>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</si>
  <si>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</si>
  <si>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</si>
  <si>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</si>
  <si>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</si>
  <si>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</si>
  <si>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</si>
  <si>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</si>
  <si>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</si>
  <si>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</si>
  <si>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</si>
  <si>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</si>
  <si>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</si>
  <si>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</si>
  <si>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</si>
  <si>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</si>
  <si>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</si>
  <si>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</si>
  <si>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</si>
  <si>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</si>
  <si>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</si>
  <si>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</si>
  <si>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</si>
  <si>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</si>
  <si>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</si>
  <si>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</si>
  <si>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</si>
  <si>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</si>
  <si>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</si>
  <si>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</si>
  <si>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</si>
  <si>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</si>
  <si>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</si>
  <si>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</si>
  <si>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</si>
  <si>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</si>
  <si>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</si>
  <si>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</si>
  <si>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</si>
  <si>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</si>
  <si>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</si>
  <si>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</si>
  <si>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</si>
  <si>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</si>
  <si>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</si>
  <si>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</si>
  <si>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</si>
  <si>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</si>
  <si>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</si>
  <si>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</si>
  <si>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</si>
  <si>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</si>
  <si>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</si>
  <si>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</si>
  <si>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</si>
  <si>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</si>
  <si>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看護職員・介護職員の夜勤人員数（実人数）</t>
    <rPh sb="0" eb="2">
      <t>カンゴ</t>
    </rPh>
    <rPh sb="2" eb="4">
      <t>ショクイン</t>
    </rPh>
    <rPh sb="5" eb="7">
      <t>カイゴ</t>
    </rPh>
    <rPh sb="7" eb="9">
      <t>ショクイン</t>
    </rPh>
    <rPh sb="10" eb="12">
      <t>ヤキン</t>
    </rPh>
    <rPh sb="12" eb="14">
      <t>ジンイン</t>
    </rPh>
    <rPh sb="14" eb="15">
      <t>スウ</t>
    </rPh>
    <rPh sb="16" eb="17">
      <t>ジツ</t>
    </rPh>
    <rPh sb="17" eb="19">
      <t>ニンズウ</t>
    </rPh>
    <phoneticPr fontId="60"/>
  </si>
  <si>
    <r>
      <t>従業者の勤務の体制及び勤務形態一覧表（予定/実績）【</t>
    </r>
    <r>
      <rPr>
        <b/>
        <sz val="12"/>
        <color rgb="FFFF0000"/>
        <rFont val="HGPｺﾞｼｯｸM"/>
        <family val="3"/>
        <charset val="128"/>
      </rPr>
      <t>夜勤時間帯：時間数</t>
    </r>
    <r>
      <rPr>
        <b/>
        <sz val="12"/>
        <rFont val="HGPｺﾞｼｯｸM"/>
        <family val="3"/>
        <charset val="128"/>
      </rPr>
      <t>】※夜勤職員（看護職員・介護職員）のみで一覧を作成した場合に活用できます。</t>
    </r>
    <rPh sb="19" eb="21">
      <t>ヨテイ</t>
    </rPh>
    <rPh sb="22" eb="24">
      <t>ジッセキ</t>
    </rPh>
    <rPh sb="26" eb="28">
      <t>ヤキン</t>
    </rPh>
    <rPh sb="28" eb="31">
      <t>ジカンタイ</t>
    </rPh>
    <rPh sb="32" eb="34">
      <t>ジカン</t>
    </rPh>
    <rPh sb="34" eb="35">
      <t>スウ</t>
    </rPh>
    <phoneticPr fontId="62"/>
  </si>
  <si>
    <t>１日平均夜勤職員数</t>
    <rPh sb="1" eb="2">
      <t>ヒ</t>
    </rPh>
    <rPh sb="2" eb="4">
      <t>ヘイキン</t>
    </rPh>
    <rPh sb="4" eb="6">
      <t>ヤキン</t>
    </rPh>
    <rPh sb="6" eb="8">
      <t>ショクイン</t>
    </rPh>
    <rPh sb="8" eb="9">
      <t>スウ</t>
    </rPh>
    <phoneticPr fontId="62"/>
  </si>
  <si>
    <t>基準上、必要な夜勤職員数+夜勤職員配置加算上の配置数</t>
    <rPh sb="13" eb="15">
      <t>ヤキン</t>
    </rPh>
    <rPh sb="15" eb="17">
      <t>ショクイン</t>
    </rPh>
    <rPh sb="17" eb="19">
      <t>ハイチ</t>
    </rPh>
    <rPh sb="19" eb="21">
      <t>カサン</t>
    </rPh>
    <rPh sb="21" eb="22">
      <t>ジョウ</t>
    </rPh>
    <rPh sb="23" eb="25">
      <t>ハイチ</t>
    </rPh>
    <rPh sb="25" eb="26">
      <t>スウ</t>
    </rPh>
    <phoneticPr fontId="62"/>
  </si>
  <si>
    <t>延夜勤時間数（Ａ）</t>
    <phoneticPr fontId="62"/>
  </si>
  <si>
    <t>計算月の日数</t>
    <phoneticPr fontId="62"/>
  </si>
  <si>
    <t>計算月の時間数（Ｂ）</t>
    <rPh sb="4" eb="7">
      <t>ジカンスウ</t>
    </rPh>
    <phoneticPr fontId="62"/>
  </si>
  <si>
    <t>（Ａ）÷（Ｂ）</t>
    <phoneticPr fontId="62"/>
  </si>
  <si>
    <t>×</t>
    <phoneticPr fontId="62"/>
  </si>
  <si>
    <t>＝</t>
    <phoneticPr fontId="62"/>
  </si>
  <si>
    <t>人</t>
    <rPh sb="0" eb="1">
      <t>ニン</t>
    </rPh>
    <phoneticPr fontId="62"/>
  </si>
  <si>
    <t>≧</t>
    <phoneticPr fontId="62"/>
  </si>
  <si>
    <t>人（</t>
    <rPh sb="0" eb="1">
      <t>ニン</t>
    </rPh>
    <phoneticPr fontId="62"/>
  </si>
  <si>
    <t>人+</t>
    <rPh sb="0" eb="1">
      <t>ニン</t>
    </rPh>
    <phoneticPr fontId="62"/>
  </si>
  <si>
    <t>人）</t>
    <rPh sb="0" eb="1">
      <t>ニン</t>
    </rPh>
    <phoneticPr fontId="62"/>
  </si>
  <si>
    <t>①</t>
    <phoneticPr fontId="62"/>
  </si>
  <si>
    <t>②</t>
    <phoneticPr fontId="62"/>
  </si>
  <si>
    <t>③</t>
    <phoneticPr fontId="62"/>
  </si>
  <si>
    <t>勤務形態・（勤務時間帯）・勤務時間</t>
    <rPh sb="0" eb="2">
      <t>キンム</t>
    </rPh>
    <rPh sb="2" eb="4">
      <t>ケイタイ</t>
    </rPh>
    <rPh sb="6" eb="8">
      <t>キンム</t>
    </rPh>
    <rPh sb="8" eb="10">
      <t>ジカン</t>
    </rPh>
    <rPh sb="10" eb="11">
      <t>タイ</t>
    </rPh>
    <rPh sb="13" eb="15">
      <t>キンム</t>
    </rPh>
    <rPh sb="15" eb="17">
      <t>ジカン</t>
    </rPh>
    <phoneticPr fontId="62"/>
  </si>
  <si>
    <t>月合計</t>
    <rPh sb="0" eb="1">
      <t>ツキ</t>
    </rPh>
    <rPh sb="1" eb="3">
      <t>ゴウケイ</t>
    </rPh>
    <phoneticPr fontId="62"/>
  </si>
  <si>
    <t>勤務時間</t>
    <rPh sb="0" eb="2">
      <t>キンム</t>
    </rPh>
    <rPh sb="2" eb="4">
      <t>ジカン</t>
    </rPh>
    <phoneticPr fontId="62"/>
  </si>
  <si>
    <t>①×②</t>
    <phoneticPr fontId="62"/>
  </si>
  <si>
    <t>1）</t>
    <phoneticPr fontId="62"/>
  </si>
  <si>
    <t>2）</t>
  </si>
  <si>
    <t>3）</t>
  </si>
  <si>
    <t>4）</t>
  </si>
  <si>
    <t>5）</t>
  </si>
  <si>
    <t>6）</t>
  </si>
  <si>
    <t>7）</t>
  </si>
  <si>
    <t>8）</t>
  </si>
  <si>
    <t>9）</t>
  </si>
  <si>
    <t>10）</t>
  </si>
  <si>
    <t>11）</t>
  </si>
  <si>
    <t>12）</t>
  </si>
  <si>
    <t>13）</t>
  </si>
  <si>
    <t>14）</t>
  </si>
  <si>
    <t>15）</t>
  </si>
  <si>
    <t>16）</t>
  </si>
  <si>
    <t>17）</t>
  </si>
  <si>
    <t>18）</t>
  </si>
  <si>
    <t>19）</t>
  </si>
  <si>
    <t>20）</t>
  </si>
  <si>
    <t>21）</t>
  </si>
  <si>
    <t>22）</t>
  </si>
  <si>
    <t>23）</t>
  </si>
  <si>
    <t>24）</t>
  </si>
  <si>
    <t>25）</t>
  </si>
  <si>
    <t>③延夜勤時間数の合計⇒</t>
    <rPh sb="8" eb="10">
      <t>ゴウケイ</t>
    </rPh>
    <phoneticPr fontId="62"/>
  </si>
  <si>
    <t>従業者の勤務の体制及び勤務形態一覧表の記載事項</t>
    <rPh sb="19" eb="21">
      <t>キサイ</t>
    </rPh>
    <rPh sb="21" eb="23">
      <t>ジコウ</t>
    </rPh>
    <phoneticPr fontId="62"/>
  </si>
  <si>
    <t>※勤務については予定ではなく実績を記入し、順番については職員配置の状況の順に記入してください。</t>
    <phoneticPr fontId="62"/>
  </si>
  <si>
    <r>
      <t>(備考</t>
    </r>
    <r>
      <rPr>
        <sz val="10"/>
        <color theme="1"/>
        <rFont val="HGPｺﾞｼｯｸM"/>
        <family val="3"/>
        <charset val="128"/>
      </rPr>
      <t>)</t>
    </r>
    <r>
      <rPr>
        <sz val="10"/>
        <rFont val="HGPｺﾞｼｯｸM"/>
        <family val="3"/>
        <charset val="128"/>
      </rPr>
      <t xml:space="preserve">  １</t>
    </r>
    <r>
      <rPr>
        <sz val="10"/>
        <color theme="1"/>
        <rFont val="HGPｺﾞｼｯｸM"/>
        <family val="3"/>
        <charset val="128"/>
      </rPr>
      <t xml:space="preserve">  本様式には短期入所生活介護に係る従業員を併せて記載してください</t>
    </r>
    <r>
      <rPr>
        <sz val="10"/>
        <rFont val="HGPｺﾞｼｯｸM"/>
        <family val="3"/>
        <charset val="128"/>
      </rPr>
      <t>　</t>
    </r>
    <rPh sb="9" eb="10">
      <t>ホン</t>
    </rPh>
    <rPh sb="10" eb="12">
      <t>ヨウシキ</t>
    </rPh>
    <rPh sb="14" eb="16">
      <t>タンキ</t>
    </rPh>
    <rPh sb="16" eb="18">
      <t>ニュウショ</t>
    </rPh>
    <rPh sb="18" eb="20">
      <t>セイカツ</t>
    </rPh>
    <rPh sb="20" eb="22">
      <t>カイゴ</t>
    </rPh>
    <rPh sb="23" eb="24">
      <t>カカ</t>
    </rPh>
    <rPh sb="25" eb="28">
      <t>ジュウギョウイン</t>
    </rPh>
    <rPh sb="29" eb="30">
      <t>アワ</t>
    </rPh>
    <rPh sb="32" eb="34">
      <t>キサイ</t>
    </rPh>
    <phoneticPr fontId="3"/>
  </si>
  <si>
    <r>
      <t xml:space="preserve">　      </t>
    </r>
    <r>
      <rPr>
        <sz val="10"/>
        <color theme="1"/>
        <rFont val="HGPｺﾞｼｯｸM"/>
        <family val="3"/>
        <charset val="128"/>
      </rPr>
      <t xml:space="preserve">  </t>
    </r>
    <r>
      <rPr>
        <sz val="10"/>
        <rFont val="HGPｺﾞｼｯｸM"/>
        <family val="3"/>
        <charset val="128"/>
      </rPr>
      <t>２　「人員配置区分」又は「該当する体制等」欄には、別紙「介護報酬加算等状況一覧表」に掲げる人員配置区分の類型又は該当する体制加算の内容をそのまま記載してください。</t>
    </r>
    <rPh sb="12" eb="14">
      <t>ジンイン</t>
    </rPh>
    <rPh sb="14" eb="16">
      <t>ハイチ</t>
    </rPh>
    <rPh sb="16" eb="18">
      <t>クブン</t>
    </rPh>
    <rPh sb="19" eb="20">
      <t>マタ</t>
    </rPh>
    <rPh sb="22" eb="24">
      <t>ガイトウ</t>
    </rPh>
    <rPh sb="26" eb="28">
      <t>タイセイ</t>
    </rPh>
    <rPh sb="28" eb="29">
      <t>トウ</t>
    </rPh>
    <rPh sb="30" eb="31">
      <t>ラン</t>
    </rPh>
    <rPh sb="34" eb="36">
      <t>ベッシ</t>
    </rPh>
    <rPh sb="37" eb="41">
      <t>カイゴホウシュウ</t>
    </rPh>
    <rPh sb="41" eb="43">
      <t>カサン</t>
    </rPh>
    <rPh sb="43" eb="44">
      <t>トウ</t>
    </rPh>
    <rPh sb="44" eb="46">
      <t>ジョウキョウ</t>
    </rPh>
    <rPh sb="46" eb="49">
      <t>イチランヒョウ</t>
    </rPh>
    <rPh sb="51" eb="52">
      <t>カカ</t>
    </rPh>
    <rPh sb="54" eb="56">
      <t>ジンイン</t>
    </rPh>
    <rPh sb="56" eb="58">
      <t>ハイチ</t>
    </rPh>
    <rPh sb="58" eb="60">
      <t>クブン</t>
    </rPh>
    <rPh sb="61" eb="63">
      <t>ルイケイ</t>
    </rPh>
    <rPh sb="63" eb="64">
      <t>マタ</t>
    </rPh>
    <rPh sb="65" eb="67">
      <t>ガイトウ</t>
    </rPh>
    <rPh sb="69" eb="71">
      <t>タイセイ</t>
    </rPh>
    <rPh sb="71" eb="73">
      <t>カサン</t>
    </rPh>
    <rPh sb="74" eb="76">
      <t>ナイヨウ</t>
    </rPh>
    <rPh sb="81" eb="83">
      <t>キサイ</t>
    </rPh>
    <phoneticPr fontId="3"/>
  </si>
  <si>
    <r>
      <t xml:space="preserve">　 　   </t>
    </r>
    <r>
      <rPr>
        <sz val="10"/>
        <color theme="1"/>
        <rFont val="HGPｺﾞｼｯｸM"/>
        <family val="3"/>
        <charset val="128"/>
      </rPr>
      <t xml:space="preserve">  </t>
    </r>
    <r>
      <rPr>
        <sz val="10"/>
        <rFont val="HGPｺﾞｼｯｸM"/>
        <family val="3"/>
        <charset val="128"/>
      </rPr>
      <t>３　届出を行う従業者について、４週間分の勤務すべき時間数を記入してください。勤務時間ごとに区分して番号を付し、その番号を記入してください。また、＜備考＞欄にその旨を記入してください。</t>
    </r>
    <rPh sb="10" eb="12">
      <t>トドケデ</t>
    </rPh>
    <rPh sb="13" eb="14">
      <t>オコナ</t>
    </rPh>
    <rPh sb="15" eb="18">
      <t>ジュウギョウシャ</t>
    </rPh>
    <rPh sb="23" eb="26">
      <t>４シュウカン</t>
    </rPh>
    <rPh sb="26" eb="27">
      <t>ブン</t>
    </rPh>
    <rPh sb="28" eb="30">
      <t>キンム</t>
    </rPh>
    <rPh sb="33" eb="36">
      <t>ジカンスウ</t>
    </rPh>
    <rPh sb="37" eb="39">
      <t>キニュウ</t>
    </rPh>
    <rPh sb="46" eb="50">
      <t>キンムジカン</t>
    </rPh>
    <rPh sb="53" eb="55">
      <t>クブン</t>
    </rPh>
    <rPh sb="57" eb="59">
      <t>バンゴウ</t>
    </rPh>
    <rPh sb="60" eb="61">
      <t>フ</t>
    </rPh>
    <rPh sb="63" eb="67">
      <t>ソノバンゴウ</t>
    </rPh>
    <rPh sb="68" eb="70">
      <t>キニュウ</t>
    </rPh>
    <rPh sb="81" eb="83">
      <t>ビコウ</t>
    </rPh>
    <rPh sb="84" eb="85">
      <t>ラン</t>
    </rPh>
    <rPh sb="88" eb="89">
      <t>ムネ</t>
    </rPh>
    <rPh sb="90" eb="92">
      <t>キニュウ</t>
    </rPh>
    <phoneticPr fontId="3"/>
  </si>
  <si>
    <t>記入例－勤務時間  ①７：３０～１６：００  ８ｈ、②９：３０～１８：００  ８ｈ、③１０：３０～１９：００  ８ｈ、④１６：３０～９：３０  １６ｈ  （８時間勤務でない場合は、勤務区分の右に時間数を記入）</t>
    <rPh sb="0" eb="2">
      <t>キニュウ</t>
    </rPh>
    <rPh sb="2" eb="3">
      <t>レイ</t>
    </rPh>
    <phoneticPr fontId="3"/>
  </si>
  <si>
    <r>
      <t xml:space="preserve">　　　  </t>
    </r>
    <r>
      <rPr>
        <sz val="10"/>
        <color theme="1"/>
        <rFont val="HGPｺﾞｼｯｸM"/>
        <family val="3"/>
        <charset val="128"/>
      </rPr>
      <t xml:space="preserve">  </t>
    </r>
    <r>
      <rPr>
        <sz val="10"/>
        <rFont val="HGPｺﾞｼｯｸM"/>
        <family val="3"/>
        <charset val="128"/>
      </rPr>
      <t>４　届出する従業者の職種ごとに下記の勤務形態の区分の順にまとめで記載してください。</t>
    </r>
    <rPh sb="9" eb="11">
      <t>トドケデ</t>
    </rPh>
    <rPh sb="13" eb="16">
      <t>ジュウギョウシャ</t>
    </rPh>
    <rPh sb="17" eb="19">
      <t>ショクシュ</t>
    </rPh>
    <rPh sb="22" eb="24">
      <t>カキ</t>
    </rPh>
    <rPh sb="25" eb="27">
      <t>キンム</t>
    </rPh>
    <rPh sb="27" eb="29">
      <t>ケイタイ</t>
    </rPh>
    <rPh sb="30" eb="32">
      <t>クブン</t>
    </rPh>
    <rPh sb="33" eb="34">
      <t>ジュン</t>
    </rPh>
    <rPh sb="39" eb="41">
      <t>キサイ</t>
    </rPh>
    <phoneticPr fontId="3"/>
  </si>
  <si>
    <t>勤務形態の区分　Ａ：常勤で専従　Ｂ：常勤で兼務　Ｃ：常勤以外で専従　Ｄ：常勤以外で兼務</t>
    <phoneticPr fontId="3"/>
  </si>
  <si>
    <r>
      <t xml:space="preserve">　　　  </t>
    </r>
    <r>
      <rPr>
        <sz val="10"/>
        <color theme="1"/>
        <rFont val="HGPｺﾞｼｯｸM"/>
        <family val="3"/>
        <charset val="128"/>
      </rPr>
      <t xml:space="preserve">  ５</t>
    </r>
    <r>
      <rPr>
        <sz val="10"/>
        <rFont val="HGPｺﾞｼｯｸM"/>
        <family val="3"/>
        <charset val="128"/>
      </rPr>
      <t>　常勤換算が必要な職種は、Ａ～Ｄの「週平均の勤務時間」をすべて足し、常勤の従業者が週に勤務すべき時間数で割って、「常勤換算後の人数」を算出してください。</t>
    </r>
    <phoneticPr fontId="3"/>
  </si>
  <si>
    <r>
      <t>　　  　</t>
    </r>
    <r>
      <rPr>
        <sz val="10"/>
        <color theme="1"/>
        <rFont val="HGPｺﾞｼｯｸM"/>
        <family val="3"/>
        <charset val="128"/>
      </rPr>
      <t xml:space="preserve">  ６</t>
    </r>
    <r>
      <rPr>
        <sz val="10"/>
        <rFont val="HGPｺﾞｼｯｸM"/>
        <family val="3"/>
        <charset val="128"/>
      </rPr>
      <t>　算出にあたっては、小数点以下第２位を切り捨ててください。</t>
    </r>
    <phoneticPr fontId="3"/>
  </si>
  <si>
    <r>
      <t>従業者の勤務の体制及び勤務形態一覧表の記載事項（</t>
    </r>
    <r>
      <rPr>
        <b/>
        <sz val="12"/>
        <color rgb="FFFF0000"/>
        <rFont val="HGPｺﾞｼｯｸM"/>
        <family val="3"/>
        <charset val="128"/>
      </rPr>
      <t>施設の基本設定</t>
    </r>
    <r>
      <rPr>
        <b/>
        <sz val="12"/>
        <rFont val="HGPｺﾞｼｯｸM"/>
        <family val="3"/>
        <charset val="128"/>
      </rPr>
      <t>）</t>
    </r>
    <r>
      <rPr>
        <b/>
        <sz val="12"/>
        <color rgb="FFFF0000"/>
        <rFont val="HGPｺﾞｼｯｸM"/>
        <family val="3"/>
        <charset val="128"/>
      </rPr>
      <t>※職種、常勤時間数、勤務形態、勤務時間帯、夜勤時間帯などの設定</t>
    </r>
    <rPh sb="19" eb="21">
      <t>キサイ</t>
    </rPh>
    <rPh sb="21" eb="23">
      <t>ジコウ</t>
    </rPh>
    <rPh sb="24" eb="26">
      <t>シセツ</t>
    </rPh>
    <rPh sb="27" eb="29">
      <t>キホン</t>
    </rPh>
    <rPh sb="29" eb="31">
      <t>セッテイ</t>
    </rPh>
    <rPh sb="33" eb="35">
      <t>ショクシュ</t>
    </rPh>
    <rPh sb="36" eb="38">
      <t>ジョウキン</t>
    </rPh>
    <rPh sb="38" eb="41">
      <t>ジカンスウ</t>
    </rPh>
    <rPh sb="42" eb="44">
      <t>キンム</t>
    </rPh>
    <rPh sb="44" eb="46">
      <t>ケイタイ</t>
    </rPh>
    <rPh sb="47" eb="49">
      <t>キンム</t>
    </rPh>
    <rPh sb="49" eb="51">
      <t>ジカン</t>
    </rPh>
    <rPh sb="51" eb="52">
      <t>タイ</t>
    </rPh>
    <rPh sb="53" eb="55">
      <t>ヤキン</t>
    </rPh>
    <rPh sb="55" eb="58">
      <t>ジカンタイ</t>
    </rPh>
    <rPh sb="61" eb="63">
      <t>セッテイ</t>
    </rPh>
    <phoneticPr fontId="62"/>
  </si>
  <si>
    <t>常勤の従業者が週に勤務すべき時間数</t>
    <phoneticPr fontId="62"/>
  </si>
  <si>
    <t>ｈ/日×</t>
    <rPh sb="2" eb="3">
      <t>ヒ</t>
    </rPh>
    <phoneticPr fontId="62"/>
  </si>
  <si>
    <t>日＝</t>
    <rPh sb="0" eb="1">
      <t>ヒ</t>
    </rPh>
    <phoneticPr fontId="62"/>
  </si>
  <si>
    <t>ｈ/週</t>
    <rPh sb="2" eb="3">
      <t>シュウ</t>
    </rPh>
    <phoneticPr fontId="62"/>
  </si>
  <si>
    <t>夜勤時間帯</t>
    <rPh sb="0" eb="2">
      <t>ヤキン</t>
    </rPh>
    <rPh sb="2" eb="5">
      <t>ジカンタイ</t>
    </rPh>
    <phoneticPr fontId="62"/>
  </si>
  <si>
    <t>夜/明</t>
    <rPh sb="0" eb="1">
      <t>ヨル</t>
    </rPh>
    <rPh sb="2" eb="3">
      <t>ア</t>
    </rPh>
    <phoneticPr fontId="62"/>
  </si>
  <si>
    <t>16：30</t>
    <phoneticPr fontId="62"/>
  </si>
  <si>
    <t>～</t>
    <phoneticPr fontId="62"/>
  </si>
  <si>
    <t>9：15</t>
    <phoneticPr fontId="62"/>
  </si>
  <si>
    <t>ｈ</t>
    <phoneticPr fontId="62"/>
  </si>
  <si>
    <t>週＝</t>
    <rPh sb="0" eb="1">
      <t>シュウ</t>
    </rPh>
    <phoneticPr fontId="62"/>
  </si>
  <si>
    <t>ｈ/月</t>
    <rPh sb="2" eb="3">
      <t>ツキ</t>
    </rPh>
    <phoneticPr fontId="62"/>
  </si>
  <si>
    <t xml:space="preserve"> ※午後10時から翌日午前5時までを含む連続する16時間で施設で定めたもの</t>
    <phoneticPr fontId="62"/>
  </si>
  <si>
    <t>常勤換算後の人数（４週の合計から算出）</t>
    <phoneticPr fontId="62"/>
  </si>
  <si>
    <t>人数</t>
    <rPh sb="0" eb="2">
      <t>ニンズ</t>
    </rPh>
    <phoneticPr fontId="62"/>
  </si>
  <si>
    <t>①AB</t>
  </si>
  <si>
    <t>③CD</t>
  </si>
  <si>
    <t>計</t>
    <rPh sb="0" eb="1">
      <t>ケイ</t>
    </rPh>
    <phoneticPr fontId="62"/>
  </si>
  <si>
    <t>②換算（参考）</t>
    <rPh sb="1" eb="3">
      <t>カンザン</t>
    </rPh>
    <rPh sb="4" eb="6">
      <t>サンコウ</t>
    </rPh>
    <phoneticPr fontId="62"/>
  </si>
  <si>
    <t>勤務形態</t>
    <rPh sb="0" eb="2">
      <t>キンム</t>
    </rPh>
    <rPh sb="2" eb="4">
      <t>ケイタイ</t>
    </rPh>
    <phoneticPr fontId="62"/>
  </si>
  <si>
    <t>勤務時間帯</t>
    <rPh sb="0" eb="2">
      <t>キンム</t>
    </rPh>
    <rPh sb="2" eb="4">
      <t>ジカン</t>
    </rPh>
    <rPh sb="4" eb="5">
      <t>タイ</t>
    </rPh>
    <phoneticPr fontId="62"/>
  </si>
  <si>
    <t>備考</t>
    <rPh sb="0" eb="2">
      <t>ビコウ</t>
    </rPh>
    <phoneticPr fontId="62"/>
  </si>
  <si>
    <t>夜勤時間帯の時間</t>
    <rPh sb="0" eb="2">
      <t>ヤキン</t>
    </rPh>
    <rPh sb="2" eb="5">
      <t>ジカンタイ</t>
    </rPh>
    <rPh sb="6" eb="8">
      <t>ジカン</t>
    </rPh>
    <phoneticPr fontId="62"/>
  </si>
  <si>
    <t>管理者</t>
    <rPh sb="0" eb="2">
      <t>カンリ</t>
    </rPh>
    <rPh sb="2" eb="3">
      <t>シャ</t>
    </rPh>
    <phoneticPr fontId="62"/>
  </si>
  <si>
    <t>→</t>
    <phoneticPr fontId="62"/>
  </si>
  <si>
    <t>01</t>
    <phoneticPr fontId="62"/>
  </si>
  <si>
    <t>夜</t>
    <rPh sb="0" eb="1">
      <t>ヨル</t>
    </rPh>
    <phoneticPr fontId="62"/>
  </si>
  <si>
    <t>夜勤</t>
    <rPh sb="0" eb="2">
      <t>ヤキン</t>
    </rPh>
    <phoneticPr fontId="62"/>
  </si>
  <si>
    <t>0：00</t>
    <phoneticPr fontId="62"/>
  </si>
  <si>
    <t>医師</t>
    <rPh sb="0" eb="2">
      <t>イシ</t>
    </rPh>
    <phoneticPr fontId="62"/>
  </si>
  <si>
    <t>02</t>
  </si>
  <si>
    <t>明</t>
    <rPh sb="0" eb="1">
      <t>ア</t>
    </rPh>
    <phoneticPr fontId="62"/>
  </si>
  <si>
    <t>明け</t>
    <rPh sb="0" eb="1">
      <t>ア</t>
    </rPh>
    <phoneticPr fontId="62"/>
  </si>
  <si>
    <t>薬剤師</t>
  </si>
  <si>
    <t>03</t>
  </si>
  <si>
    <t>日勤Ａ</t>
    <rPh sb="0" eb="2">
      <t>ニッキン</t>
    </rPh>
    <phoneticPr fontId="62"/>
  </si>
  <si>
    <t>8：40</t>
    <phoneticPr fontId="62"/>
  </si>
  <si>
    <t>17：15</t>
    <phoneticPr fontId="62"/>
  </si>
  <si>
    <t>生活相談員</t>
    <rPh sb="0" eb="2">
      <t>セイカツ</t>
    </rPh>
    <rPh sb="2" eb="5">
      <t>ソウダンイン</t>
    </rPh>
    <phoneticPr fontId="62"/>
  </si>
  <si>
    <t>04</t>
  </si>
  <si>
    <t>早出</t>
    <rPh sb="0" eb="2">
      <t>ハヤデ</t>
    </rPh>
    <phoneticPr fontId="62"/>
  </si>
  <si>
    <t>7：10</t>
    <phoneticPr fontId="62"/>
  </si>
  <si>
    <t>15：45</t>
    <phoneticPr fontId="62"/>
  </si>
  <si>
    <t>看護職員（正）</t>
    <rPh sb="0" eb="2">
      <t>カンゴ</t>
    </rPh>
    <rPh sb="2" eb="4">
      <t>ショクイン</t>
    </rPh>
    <rPh sb="5" eb="6">
      <t>セイ</t>
    </rPh>
    <phoneticPr fontId="62"/>
  </si>
  <si>
    <t>05</t>
  </si>
  <si>
    <t>遅出</t>
    <rPh sb="0" eb="2">
      <t>オソデ</t>
    </rPh>
    <phoneticPr fontId="62"/>
  </si>
  <si>
    <t>11：25</t>
    <phoneticPr fontId="62"/>
  </si>
  <si>
    <t>20：00</t>
    <phoneticPr fontId="62"/>
  </si>
  <si>
    <t>看護職員（准）</t>
    <rPh sb="0" eb="2">
      <t>カンゴ</t>
    </rPh>
    <rPh sb="2" eb="4">
      <t>ショクイン</t>
    </rPh>
    <rPh sb="5" eb="6">
      <t>ジュン</t>
    </rPh>
    <phoneticPr fontId="62"/>
  </si>
  <si>
    <t>06</t>
  </si>
  <si>
    <t>⑤</t>
    <phoneticPr fontId="62"/>
  </si>
  <si>
    <t>午前Ａ</t>
    <rPh sb="0" eb="2">
      <t>ゴゼン</t>
    </rPh>
    <phoneticPr fontId="62"/>
  </si>
  <si>
    <t>12：40</t>
    <phoneticPr fontId="62"/>
  </si>
  <si>
    <t>介護職員</t>
    <rPh sb="0" eb="2">
      <t>カイゴ</t>
    </rPh>
    <rPh sb="2" eb="4">
      <t>ショクイン</t>
    </rPh>
    <phoneticPr fontId="62"/>
  </si>
  <si>
    <t>07</t>
  </si>
  <si>
    <t>⑥</t>
  </si>
  <si>
    <t>午後Ａ</t>
    <rPh sb="0" eb="2">
      <t>ゴゴ</t>
    </rPh>
    <phoneticPr fontId="62"/>
  </si>
  <si>
    <t>13：30</t>
    <phoneticPr fontId="62"/>
  </si>
  <si>
    <t>17：30</t>
    <phoneticPr fontId="62"/>
  </si>
  <si>
    <t>介護職員（介福）</t>
    <rPh sb="0" eb="2">
      <t>カイゴ</t>
    </rPh>
    <rPh sb="2" eb="4">
      <t>ショクイン</t>
    </rPh>
    <rPh sb="5" eb="6">
      <t>スケ</t>
    </rPh>
    <rPh sb="6" eb="7">
      <t>フク</t>
    </rPh>
    <phoneticPr fontId="62"/>
  </si>
  <si>
    <t>08</t>
  </si>
  <si>
    <t>⑦</t>
  </si>
  <si>
    <t>日勤Ｂ</t>
    <rPh sb="0" eb="2">
      <t>ニッキン</t>
    </rPh>
    <phoneticPr fontId="62"/>
  </si>
  <si>
    <t>9：00</t>
    <phoneticPr fontId="62"/>
  </si>
  <si>
    <t>17：00</t>
    <phoneticPr fontId="62"/>
  </si>
  <si>
    <t>管理栄養士</t>
    <rPh sb="0" eb="2">
      <t>カンリ</t>
    </rPh>
    <rPh sb="2" eb="5">
      <t>エイヨウシ</t>
    </rPh>
    <phoneticPr fontId="62"/>
  </si>
  <si>
    <t>09</t>
  </si>
  <si>
    <t>⑧</t>
  </si>
  <si>
    <t>午前Ｂ</t>
    <rPh sb="0" eb="2">
      <t>ゴゼン</t>
    </rPh>
    <phoneticPr fontId="62"/>
  </si>
  <si>
    <t>13：00</t>
    <phoneticPr fontId="62"/>
  </si>
  <si>
    <t>栄養士</t>
    <rPh sb="0" eb="3">
      <t>エイヨウシ</t>
    </rPh>
    <phoneticPr fontId="62"/>
  </si>
  <si>
    <t>10</t>
  </si>
  <si>
    <t>⑨</t>
  </si>
  <si>
    <t>午後Ｂ</t>
    <rPh sb="0" eb="2">
      <t>ゴゴ</t>
    </rPh>
    <phoneticPr fontId="62"/>
  </si>
  <si>
    <t>機能訓練指導員</t>
    <rPh sb="0" eb="2">
      <t>キノウ</t>
    </rPh>
    <rPh sb="2" eb="4">
      <t>クンレン</t>
    </rPh>
    <rPh sb="4" eb="7">
      <t>シドウイン</t>
    </rPh>
    <phoneticPr fontId="62"/>
  </si>
  <si>
    <t>11</t>
  </si>
  <si>
    <t>⑩</t>
  </si>
  <si>
    <t>午後Ｃ</t>
    <rPh sb="0" eb="2">
      <t>ゴゴ</t>
    </rPh>
    <phoneticPr fontId="62"/>
  </si>
  <si>
    <t>15：25</t>
    <phoneticPr fontId="62"/>
  </si>
  <si>
    <t>理学療法士</t>
    <rPh sb="2" eb="5">
      <t>リョウホウシ</t>
    </rPh>
    <phoneticPr fontId="62"/>
  </si>
  <si>
    <t>12</t>
  </si>
  <si>
    <t>⑪</t>
    <phoneticPr fontId="62"/>
  </si>
  <si>
    <t>午後Ｄ</t>
    <rPh sb="0" eb="2">
      <t>ゴゴ</t>
    </rPh>
    <phoneticPr fontId="62"/>
  </si>
  <si>
    <t>16：00</t>
    <phoneticPr fontId="62"/>
  </si>
  <si>
    <t>作業療法士</t>
    <rPh sb="0" eb="2">
      <t>サギョウ</t>
    </rPh>
    <rPh sb="2" eb="5">
      <t>リョウホウシ</t>
    </rPh>
    <phoneticPr fontId="62"/>
  </si>
  <si>
    <t>13</t>
  </si>
  <si>
    <t>⑱</t>
    <phoneticPr fontId="62"/>
  </si>
  <si>
    <t>日勤Ｃ</t>
    <rPh sb="0" eb="2">
      <t>ニッキン</t>
    </rPh>
    <phoneticPr fontId="62"/>
  </si>
  <si>
    <t>言語聴覚士</t>
    <rPh sb="0" eb="2">
      <t>ゲンゴ</t>
    </rPh>
    <rPh sb="2" eb="4">
      <t>チョウカク</t>
    </rPh>
    <rPh sb="4" eb="5">
      <t>シ</t>
    </rPh>
    <phoneticPr fontId="62"/>
  </si>
  <si>
    <t>14</t>
  </si>
  <si>
    <t>⑲</t>
    <phoneticPr fontId="62"/>
  </si>
  <si>
    <t>午前Ｃ</t>
    <rPh sb="0" eb="2">
      <t>ゴゼン</t>
    </rPh>
    <phoneticPr fontId="62"/>
  </si>
  <si>
    <t>介護支援専門員</t>
    <rPh sb="0" eb="2">
      <t>カイゴ</t>
    </rPh>
    <rPh sb="2" eb="4">
      <t>シエン</t>
    </rPh>
    <rPh sb="4" eb="7">
      <t>センモンイン</t>
    </rPh>
    <phoneticPr fontId="62"/>
  </si>
  <si>
    <t>15</t>
  </si>
  <si>
    <t>⑳</t>
    <phoneticPr fontId="62"/>
  </si>
  <si>
    <t>午前Ｄ</t>
    <rPh sb="0" eb="2">
      <t>ゴゼン</t>
    </rPh>
    <phoneticPr fontId="62"/>
  </si>
  <si>
    <t>11：10</t>
    <phoneticPr fontId="62"/>
  </si>
  <si>
    <t>事務職員</t>
    <rPh sb="0" eb="2">
      <t>ジム</t>
    </rPh>
    <rPh sb="2" eb="4">
      <t>ショクイン</t>
    </rPh>
    <phoneticPr fontId="62"/>
  </si>
  <si>
    <t>16</t>
  </si>
  <si>
    <t>公</t>
    <rPh sb="0" eb="1">
      <t>コウ</t>
    </rPh>
    <phoneticPr fontId="62"/>
  </si>
  <si>
    <t>公休</t>
    <rPh sb="0" eb="2">
      <t>コウキュウ</t>
    </rPh>
    <phoneticPr fontId="62"/>
  </si>
  <si>
    <t>調理員</t>
    <rPh sb="0" eb="3">
      <t>チョウリイン</t>
    </rPh>
    <phoneticPr fontId="62"/>
  </si>
  <si>
    <t>17</t>
  </si>
  <si>
    <t>有</t>
    <rPh sb="0" eb="1">
      <t>タモツ</t>
    </rPh>
    <phoneticPr fontId="62"/>
  </si>
  <si>
    <t>有休</t>
    <rPh sb="0" eb="2">
      <t>ユウキュウ</t>
    </rPh>
    <phoneticPr fontId="62"/>
  </si>
  <si>
    <t>その他の職員</t>
    <rPh sb="2" eb="3">
      <t>タ</t>
    </rPh>
    <rPh sb="4" eb="6">
      <t>ショクイン</t>
    </rPh>
    <phoneticPr fontId="62"/>
  </si>
  <si>
    <t>18</t>
  </si>
  <si>
    <t>欠</t>
    <rPh sb="0" eb="1">
      <t>ケツ</t>
    </rPh>
    <phoneticPr fontId="62"/>
  </si>
  <si>
    <t>欠勤</t>
    <rPh sb="0" eb="2">
      <t>ケッキン</t>
    </rPh>
    <phoneticPr fontId="62"/>
  </si>
  <si>
    <t>19</t>
  </si>
  <si>
    <t>特</t>
    <rPh sb="0" eb="1">
      <t>トク</t>
    </rPh>
    <phoneticPr fontId="62"/>
  </si>
  <si>
    <t>特休</t>
    <rPh sb="0" eb="1">
      <t>トク</t>
    </rPh>
    <rPh sb="1" eb="2">
      <t>キュウ</t>
    </rPh>
    <phoneticPr fontId="62"/>
  </si>
  <si>
    <t>20</t>
  </si>
  <si>
    <t>-</t>
    <phoneticPr fontId="62"/>
  </si>
  <si>
    <t>21</t>
  </si>
  <si>
    <t>22</t>
  </si>
  <si>
    <t>23</t>
  </si>
  <si>
    <t>24</t>
  </si>
  <si>
    <t>25</t>
  </si>
  <si>
    <t>↑文字列設定しています。</t>
    <rPh sb="1" eb="4">
      <t>モジレツ</t>
    </rPh>
    <rPh sb="4" eb="6">
      <t>セッテイ</t>
    </rPh>
    <phoneticPr fontId="62"/>
  </si>
  <si>
    <t>〇〇　〇〇</t>
    <phoneticPr fontId="62"/>
  </si>
  <si>
    <t>勤務一覧（夜勤加算用）※看護・介護職員分（算定月）</t>
    <phoneticPr fontId="3"/>
  </si>
  <si>
    <r>
      <t>※１　</t>
    </r>
    <r>
      <rPr>
        <b/>
        <u/>
        <sz val="14"/>
        <color rgb="FFFF0000"/>
        <rFont val="HGSｺﾞｼｯｸM"/>
        <family val="3"/>
        <charset val="128"/>
      </rPr>
      <t>備考欄に記載の書類も併せて提出してください。</t>
    </r>
    <r>
      <rPr>
        <b/>
        <sz val="14"/>
        <color rgb="FFFF0000"/>
        <rFont val="HGSｺﾞｼｯｸM"/>
        <family val="3"/>
        <charset val="128"/>
      </rPr>
      <t xml:space="preserve">
</t>
    </r>
    <r>
      <rPr>
        <b/>
        <sz val="14"/>
        <color theme="1"/>
        <rFont val="HGSｺﾞｼｯｸM"/>
        <family val="3"/>
        <charset val="128"/>
      </rPr>
      <t>※２　各付表の裏面にある「添付書類」については不要です。
※３　各書類（写）には、原本照合は不要です。
※４　各別紙の備考等に記載されている根拠資料については提出不要ですが、求めがあった場合にはすぐに提示できるよう、事業所で保管しておいてください。</t>
    </r>
    <rPh sb="3" eb="6">
      <t>ビコウラン</t>
    </rPh>
    <rPh sb="7" eb="9">
      <t>キサイ</t>
    </rPh>
    <rPh sb="10" eb="12">
      <t>ショルイ</t>
    </rPh>
    <rPh sb="13" eb="14">
      <t>アワ</t>
    </rPh>
    <rPh sb="16" eb="18">
      <t>テイシュツ</t>
    </rPh>
    <rPh sb="30" eb="31">
      <t>カク</t>
    </rPh>
    <rPh sb="31" eb="33">
      <t>フヒョウ</t>
    </rPh>
    <rPh sb="34" eb="36">
      <t>ウラメン</t>
    </rPh>
    <rPh sb="40" eb="42">
      <t>テンプ</t>
    </rPh>
    <rPh sb="42" eb="44">
      <t>ショルイ</t>
    </rPh>
    <rPh sb="50" eb="52">
      <t>フヨウ</t>
    </rPh>
    <rPh sb="60" eb="61">
      <t>カク</t>
    </rPh>
    <rPh sb="61" eb="63">
      <t>ショルイ</t>
    </rPh>
    <rPh sb="64" eb="65">
      <t>ウツ</t>
    </rPh>
    <rPh sb="69" eb="71">
      <t>ゲンポン</t>
    </rPh>
    <rPh sb="71" eb="73">
      <t>ショウゴウ</t>
    </rPh>
    <rPh sb="74" eb="76">
      <t>フヨウ</t>
    </rPh>
    <rPh sb="84" eb="85">
      <t>カク</t>
    </rPh>
    <rPh sb="85" eb="87">
      <t>ベッシ</t>
    </rPh>
    <rPh sb="88" eb="90">
      <t>ビコウ</t>
    </rPh>
    <rPh sb="90" eb="91">
      <t>トウ</t>
    </rPh>
    <rPh sb="92" eb="94">
      <t>キサイ</t>
    </rPh>
    <rPh sb="99" eb="101">
      <t>コンキョ</t>
    </rPh>
    <rPh sb="101" eb="103">
      <t>シリョウ</t>
    </rPh>
    <rPh sb="108" eb="110">
      <t>テイシュツ</t>
    </rPh>
    <rPh sb="110" eb="112">
      <t>フヨウ</t>
    </rPh>
    <rPh sb="116" eb="117">
      <t>モト</t>
    </rPh>
    <rPh sb="122" eb="124">
      <t>バアイ</t>
    </rPh>
    <rPh sb="129" eb="131">
      <t>テイジ</t>
    </rPh>
    <rPh sb="137" eb="140">
      <t>ジギョウショ</t>
    </rPh>
    <rPh sb="141" eb="143">
      <t>ホカン</t>
    </rPh>
    <phoneticPr fontId="3"/>
  </si>
  <si>
    <t>勤務一覧（夜勤加算用）※看護・介護職員分（算定月）、参考1「人員基準確認表」、参考2「夜勤職員配置及び夜勤職員配置加算算定表」
※夜勤職員配置加算（Ⅲ）、（Ⅳ）の場合は、上記のほか、夜勤を行う看護職員の免許証（写）、登録喀痰吸引等事業者等で登録している介護福祉士・認定特定行為業務従事者名簿</t>
    <rPh sb="26" eb="28">
      <t>サンコウ</t>
    </rPh>
    <rPh sb="30" eb="37">
      <t>ジンインキジュンカクニンヒョウ</t>
    </rPh>
    <rPh sb="65" eb="67">
      <t>ヤキン</t>
    </rPh>
    <rPh sb="67" eb="69">
      <t>ショクイン</t>
    </rPh>
    <rPh sb="69" eb="71">
      <t>ハイチ</t>
    </rPh>
    <rPh sb="71" eb="73">
      <t>カサン</t>
    </rPh>
    <rPh sb="81" eb="83">
      <t>バアイ</t>
    </rPh>
    <rPh sb="85" eb="87">
      <t>ジョウキ</t>
    </rPh>
    <rPh sb="91" eb="93">
      <t>ヤキン</t>
    </rPh>
    <rPh sb="94" eb="95">
      <t>オコナ</t>
    </rPh>
    <rPh sb="108" eb="110">
      <t>トウロク</t>
    </rPh>
    <rPh sb="110" eb="112">
      <t>カクタン</t>
    </rPh>
    <rPh sb="112" eb="114">
      <t>キュウイン</t>
    </rPh>
    <rPh sb="114" eb="115">
      <t>トウ</t>
    </rPh>
    <rPh sb="115" eb="118">
      <t>ジギョウシャ</t>
    </rPh>
    <rPh sb="118" eb="119">
      <t>トウ</t>
    </rPh>
    <rPh sb="120" eb="122">
      <t>トウロク</t>
    </rPh>
    <rPh sb="126" eb="128">
      <t>カイゴ</t>
    </rPh>
    <rPh sb="128" eb="131">
      <t>フクシシ</t>
    </rPh>
    <rPh sb="132" eb="134">
      <t>ニンテイ</t>
    </rPh>
    <rPh sb="134" eb="136">
      <t>トクテイ</t>
    </rPh>
    <rPh sb="136" eb="138">
      <t>コウイ</t>
    </rPh>
    <rPh sb="138" eb="140">
      <t>ギョウム</t>
    </rPh>
    <rPh sb="140" eb="143">
      <t>ジュウジシャ</t>
    </rPh>
    <rPh sb="143" eb="145">
      <t>メイボ</t>
    </rPh>
    <phoneticPr fontId="3"/>
  </si>
  <si>
    <t>勤務一覧（夜勤加算用）※看護・介護職員分（算定月）、参考1「人員基準確認表」、参考2「夜勤職員配置及び夜勤職員配置加算算定表」
要件を満たすことが分かる議事概要</t>
    <rPh sb="64" eb="66">
      <t>ヨウケン</t>
    </rPh>
    <rPh sb="67" eb="68">
      <t>ミ</t>
    </rPh>
    <rPh sb="73" eb="74">
      <t>ワ</t>
    </rPh>
    <rPh sb="76" eb="80">
      <t>ギジガイヨウ</t>
    </rPh>
    <phoneticPr fontId="3"/>
  </si>
  <si>
    <t>協力医療機関等と感染症発生時等の対応について取り決めたことがわかるもの（写）</t>
    <phoneticPr fontId="3"/>
  </si>
  <si>
    <t>https://www.pref.osaka.lg.jp/documents/63688/tuchi.pdf</t>
    <phoneticPr fontId="3"/>
  </si>
  <si>
    <t>https://www.kaigokensaku.mhlw.go.jp/shinsei/report/</t>
    <phoneticPr fontId="3"/>
  </si>
  <si>
    <t>＜報告先＞</t>
  </si>
  <si>
    <r>
      <t xml:space="preserve">要件を満たすことが分かる委員会の議事概要、別紙２「生産性向上推進体制加算（Ⅰ）の算定に関する取組の成果」（※別紙２「生産性向上推進体制加算（Ⅰ）の算定に関する取組の成果」については、生産性向上推進体制加算Ⅰを算定する場合のみ提出してください）
</t>
    </r>
    <r>
      <rPr>
        <sz val="10"/>
        <color rgb="FFFF0000"/>
        <rFont val="HGSｺﾞｼｯｸM"/>
        <family val="3"/>
        <charset val="128"/>
      </rPr>
      <t>【事業年度毎の実績データ提出について】
当該加算を算定する場合、事業所における事業年度毎に１回の生産性向上の取り組みに関する実績データを厚生労働省へ報告が必要です。詳細は以下通知をご確認ください。
通知：老高発0927第2号令和6年9月27日</t>
    </r>
    <rPh sb="21" eb="23">
      <t>ベッシ</t>
    </rPh>
    <rPh sb="54" eb="56">
      <t>ベッシ</t>
    </rPh>
    <rPh sb="91" eb="96">
      <t>セイサンセイコウジョウ</t>
    </rPh>
    <rPh sb="96" eb="100">
      <t>スイシンタイセイ</t>
    </rPh>
    <rPh sb="100" eb="102">
      <t>カサン</t>
    </rPh>
    <rPh sb="104" eb="106">
      <t>サンテイ</t>
    </rPh>
    <rPh sb="108" eb="110">
      <t>バアイ</t>
    </rPh>
    <rPh sb="112" eb="114">
      <t>テイシュツ</t>
    </rPh>
    <rPh sb="135" eb="137">
      <t>テイシュツ</t>
    </rPh>
    <rPh sb="208" eb="210">
      <t>イカ</t>
    </rPh>
    <rPh sb="222" eb="224">
      <t>ツウチ</t>
    </rPh>
    <phoneticPr fontId="3"/>
  </si>
  <si>
    <t>1(1)</t>
    <phoneticPr fontId="3"/>
  </si>
  <si>
    <t>（別紙１－１）</t>
    <rPh sb="1" eb="3">
      <t>ベッシ</t>
    </rPh>
    <phoneticPr fontId="3"/>
  </si>
  <si>
    <t>令和７年４月１日更新</t>
    <rPh sb="3" eb="4">
      <t>ネン</t>
    </rPh>
    <rPh sb="5" eb="6">
      <t>ガツ</t>
    </rPh>
    <rPh sb="7" eb="8">
      <t>ニチ</t>
    </rPh>
    <rPh sb="8" eb="10">
      <t>コウシン</t>
    </rPh>
    <phoneticPr fontId="3"/>
  </si>
  <si>
    <t>介護事業者課
居宅グループ
０６－６９４４－７０９５</t>
    <rPh sb="0" eb="2">
      <t>カイゴ</t>
    </rPh>
    <rPh sb="2" eb="5">
      <t>ジギョウシャ</t>
    </rPh>
    <rPh sb="5" eb="6">
      <t>カ</t>
    </rPh>
    <phoneticPr fontId="3"/>
  </si>
  <si>
    <t>届出受理日が
　毎月15日以前の場合→翌月からの算定
　毎月16日以降の場合→翌々月からの算定</t>
    <phoneticPr fontId="3"/>
  </si>
  <si>
    <t>1(1届出受理日が
　毎月15日以前の場合→翌月からの算定
　毎月16日以降の場合→翌々月からの算定)</t>
    <phoneticPr fontId="3"/>
  </si>
  <si>
    <t>（取り下げ）各種加算における必要な添付書類一覧（介護職員処遇改善加算は除く）</t>
    <rPh sb="1" eb="2">
      <t>ト</t>
    </rPh>
    <rPh sb="3" eb="4">
      <t>サ</t>
    </rPh>
    <rPh sb="6" eb="8">
      <t>カクシュ</t>
    </rPh>
    <rPh sb="35" eb="36">
      <t>ノゾ</t>
    </rPh>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</si>
  <si>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</si>
  <si>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口腔機能向上加算</t>
    <rPh sb="6" eb="8">
      <t>カサン</t>
    </rPh>
    <phoneticPr fontId="3"/>
  </si>
  <si>
    <t>栄養アセスメント・栄養改善体制</t>
    <phoneticPr fontId="3"/>
  </si>
  <si>
    <t>若年性認知症利用者受入加算</t>
    <rPh sb="6" eb="9">
      <t>リヨウシャ</t>
    </rPh>
    <rPh sb="9" eb="11">
      <t>ウケイレ</t>
    </rPh>
    <rPh sb="11" eb="13">
      <t>カサン</t>
    </rPh>
    <phoneticPr fontId="3"/>
  </si>
  <si>
    <t>認知症加算</t>
    <rPh sb="0" eb="3">
      <t>ニンチショウ</t>
    </rPh>
    <rPh sb="3" eb="5">
      <t>カサン</t>
    </rPh>
    <phoneticPr fontId="3"/>
  </si>
  <si>
    <t>ADL維持等加算〔申出〕の有無</t>
    <phoneticPr fontId="3"/>
  </si>
  <si>
    <t>３ 加算Ⅰロ</t>
    <phoneticPr fontId="3"/>
  </si>
  <si>
    <t>２ 加算Ⅰイ</t>
    <phoneticPr fontId="3"/>
  </si>
  <si>
    <t>個別機能訓練加算</t>
    <phoneticPr fontId="3"/>
  </si>
  <si>
    <t>中重度者ケア体制加算</t>
  </si>
  <si>
    <t>入浴介助加算</t>
    <phoneticPr fontId="3"/>
  </si>
  <si>
    <t>７　大規模型事業所（Ⅱ）</t>
  </si>
  <si>
    <t>生活相談員配置等加算</t>
    <rPh sb="7" eb="8">
      <t>トウ</t>
    </rPh>
    <phoneticPr fontId="3"/>
  </si>
  <si>
    <t>６　大規模型事業所（Ⅰ）</t>
  </si>
  <si>
    <t>４　通常規模型事業所</t>
  </si>
  <si>
    <t>共生型サービスの提供
（放課後等デイサービス事業所）</t>
    <rPh sb="0" eb="3">
      <t>キョウセイガタ</t>
    </rPh>
    <rPh sb="8" eb="10">
      <t>テイキョウ</t>
    </rPh>
    <rPh sb="22" eb="25">
      <t>ジギョウショ</t>
    </rPh>
    <phoneticPr fontId="3"/>
  </si>
  <si>
    <t>共生型サービスの提供
（児童発達支援事業所）</t>
    <rPh sb="0" eb="3">
      <t>キョウセイガタ</t>
    </rPh>
    <rPh sb="8" eb="10">
      <t>テイキョウ</t>
    </rPh>
    <rPh sb="18" eb="20">
      <t>ジギョウ</t>
    </rPh>
    <rPh sb="20" eb="21">
      <t>ショ</t>
    </rPh>
    <phoneticPr fontId="3"/>
  </si>
  <si>
    <t>共生型サービスの提供
（自立訓練事業所）</t>
    <rPh sb="0" eb="3">
      <t>キョウセイガタ</t>
    </rPh>
    <rPh sb="8" eb="10">
      <t>テイキョウ</t>
    </rPh>
    <rPh sb="16" eb="19">
      <t>ジギョウショ</t>
    </rPh>
    <phoneticPr fontId="3"/>
  </si>
  <si>
    <t>共生型サービスの提供
（生活介護事業所）</t>
    <rPh sb="0" eb="3">
      <t>キョウセイガタ</t>
    </rPh>
    <rPh sb="8" eb="10">
      <t>テイキョウ</t>
    </rPh>
    <rPh sb="16" eb="18">
      <t>ジギョウ</t>
    </rPh>
    <rPh sb="18" eb="19">
      <t>ショ</t>
    </rPh>
    <phoneticPr fontId="3"/>
  </si>
  <si>
    <t>時間延長サービス体制</t>
  </si>
  <si>
    <t>移行支援加算</t>
    <rPh sb="0" eb="2">
      <t>イコウ</t>
    </rPh>
    <rPh sb="2" eb="4">
      <t>シエン</t>
    </rPh>
    <rPh sb="4" eb="6">
      <t>カサン</t>
    </rPh>
    <phoneticPr fontId="86"/>
  </si>
  <si>
    <t>口腔連携強化加算</t>
    <rPh sb="0" eb="2">
      <t>コウクウ</t>
    </rPh>
    <rPh sb="2" eb="4">
      <t>レンケイ</t>
    </rPh>
    <rPh sb="4" eb="6">
      <t>キョウカ</t>
    </rPh>
    <rPh sb="6" eb="8">
      <t>カサン</t>
    </rPh>
    <phoneticPr fontId="3"/>
  </si>
  <si>
    <t>ﾘﾊﾋﾞﾘﾃｰｼｮﾝマネジメント加算に係る医師による説明</t>
    <phoneticPr fontId="3"/>
  </si>
  <si>
    <t>６ 加算ロ</t>
    <phoneticPr fontId="3"/>
  </si>
  <si>
    <t>３ 加算イ</t>
    <phoneticPr fontId="3"/>
  </si>
  <si>
    <t>ﾘﾊﾋﾞﾘﾃｰｼｮﾝマネジメント加算</t>
    <rPh sb="16" eb="18">
      <t>カサン</t>
    </rPh>
    <phoneticPr fontId="86"/>
  </si>
  <si>
    <t>３　介護医療院</t>
  </si>
  <si>
    <t>２　該当</t>
  </si>
  <si>
    <t>１　非該当</t>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</si>
  <si>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</si>
  <si>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２　介護老人保健施設</t>
  </si>
  <si>
    <t>訪問リハビリテーション</t>
    <phoneticPr fontId="3"/>
  </si>
  <si>
    <t>１　病院又は診療所</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</si>
  <si>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</si>
  <si>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特別地域加算</t>
  </si>
  <si>
    <t>３　定期巡回・随時対応型サービス連携</t>
  </si>
  <si>
    <t>２　病院又は診療所</t>
  </si>
  <si>
    <t>１　訪問看護ステーション</t>
  </si>
  <si>
    <t>特別地域加算</t>
    <rPh sb="0" eb="2">
      <t>トクベツ</t>
    </rPh>
    <rPh sb="2" eb="4">
      <t>チイキ</t>
    </rPh>
    <rPh sb="4" eb="6">
      <t>カサン</t>
    </rPh>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</si>
  <si>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</si>
  <si>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３　通院等乗降介助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</si>
  <si>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3"/>
  </si>
  <si>
    <t>２　生活援助</t>
  </si>
  <si>
    <t>１　身体介護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</si>
  <si>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</si>
  <si>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共生型サービスの提供
（重度訪問介護事業所）</t>
    <rPh sb="0" eb="3">
      <t>キョウセイガタ</t>
    </rPh>
    <rPh sb="8" eb="10">
      <t>テイキョウ</t>
    </rPh>
    <rPh sb="18" eb="21">
      <t>ジギョウショ</t>
    </rPh>
    <phoneticPr fontId="3"/>
  </si>
  <si>
    <t>共生型サービスの提供
（居宅介護事業所）</t>
    <rPh sb="0" eb="3">
      <t>キョウセイガタ</t>
    </rPh>
    <rPh sb="8" eb="10">
      <t>テイキョウ</t>
    </rPh>
    <rPh sb="16" eb="19">
      <t>ジギョウショ</t>
    </rPh>
    <phoneticPr fontId="3"/>
  </si>
  <si>
    <t>３　定期巡回の整備計画がある</t>
  </si>
  <si>
    <t>２　定期巡回の指定を受けている</t>
  </si>
  <si>
    <t>１　定期巡回の指定を受けていない</t>
  </si>
  <si>
    <t>定期巡回・随時対応サービスに関する状況</t>
    <rPh sb="0" eb="2">
      <t>テイキ</t>
    </rPh>
    <rPh sb="2" eb="4">
      <t>ジュンカイ</t>
    </rPh>
    <rPh sb="5" eb="7">
      <t>ズイジ</t>
    </rPh>
    <rPh sb="7" eb="9">
      <t>タイオウ</t>
    </rPh>
    <rPh sb="14" eb="15">
      <t>カン</t>
    </rPh>
    <rPh sb="17" eb="19">
      <t>ジョウキョウ</t>
    </rPh>
    <phoneticPr fontId="86"/>
  </si>
  <si>
    <t>提供サービス</t>
  </si>
  <si>
    <t>##SATELLITE</t>
    <phoneticPr fontId="3"/>
  </si>
  <si>
    <r>
      <t>介 護 給 付 費 算 定 に 係 る 体 制 等 状 況 一 覧 表</t>
    </r>
    <r>
      <rPr>
        <sz val="14"/>
        <color theme="1"/>
        <rFont val="HGSｺﾞｼｯｸM"/>
        <family val="3"/>
        <charset val="128"/>
      </rPr>
      <t>（主たる事業所の所在地以外の場所で一部実施する場合の出張所等の状況）</t>
    </r>
    <phoneticPr fontId="3"/>
  </si>
  <si>
    <t>Ａ 加算Ⅳ</t>
    <phoneticPr fontId="3"/>
  </si>
  <si>
    <t>９ 加算Ⅲ</t>
    <phoneticPr fontId="3"/>
  </si>
  <si>
    <t>８ 加算Ⅱ</t>
    <rPh sb="2" eb="4">
      <t>カサン</t>
    </rPh>
    <phoneticPr fontId="3"/>
  </si>
  <si>
    <t>７ 加算Ⅰ</t>
    <phoneticPr fontId="3"/>
  </si>
  <si>
    <t>介護職員等処遇改善加算</t>
    <phoneticPr fontId="86"/>
  </si>
  <si>
    <t>重度認知症疾患療養体制加算</t>
    <phoneticPr fontId="3"/>
  </si>
  <si>
    <t>若年性認知症入所者受入加算</t>
    <rPh sb="0" eb="3">
      <t>ジャクネンセイ</t>
    </rPh>
    <rPh sb="3" eb="6">
      <t>ニンチショウ</t>
    </rPh>
    <rPh sb="6" eb="9">
      <t>ニュウショシャ</t>
    </rPh>
    <rPh sb="9" eb="11">
      <t>ウケイレ</t>
    </rPh>
    <rPh sb="11" eb="13">
      <t>カサン</t>
    </rPh>
    <phoneticPr fontId="3"/>
  </si>
  <si>
    <t>２ 減算型</t>
    <rPh sb="2" eb="4">
      <t>ゲンサン</t>
    </rPh>
    <rPh sb="4" eb="5">
      <t>ガタ</t>
    </rPh>
    <phoneticPr fontId="3"/>
  </si>
  <si>
    <t>１ 基準型</t>
    <rPh sb="2" eb="4">
      <t>キジュン</t>
    </rPh>
    <phoneticPr fontId="3"/>
  </si>
  <si>
    <t>療養環境基準（療養室）</t>
    <rPh sb="7" eb="10">
      <t>リョウヨウシツ</t>
    </rPh>
    <phoneticPr fontId="3"/>
  </si>
  <si>
    <t>２　Ⅱ型</t>
  </si>
  <si>
    <t>療養環境基準（廊下）</t>
    <rPh sb="7" eb="9">
      <t>ロウカ</t>
    </rPh>
    <phoneticPr fontId="3"/>
  </si>
  <si>
    <t>１　Ⅰ型</t>
  </si>
  <si>
    <t>６　ユニット型特別介護医療院</t>
    <rPh sb="6" eb="7">
      <t>ガタ</t>
    </rPh>
    <rPh sb="7" eb="9">
      <t>トクベツ</t>
    </rPh>
    <rPh sb="9" eb="11">
      <t>カイゴ</t>
    </rPh>
    <rPh sb="11" eb="13">
      <t>イリョウ</t>
    </rPh>
    <rPh sb="13" eb="14">
      <t>イン</t>
    </rPh>
    <phoneticPr fontId="3"/>
  </si>
  <si>
    <t>介護医療院サービス</t>
    <phoneticPr fontId="3"/>
  </si>
  <si>
    <t>６ 介護支援専門員</t>
    <rPh sb="2" eb="4">
      <t>カイゴ</t>
    </rPh>
    <rPh sb="4" eb="6">
      <t>シエン</t>
    </rPh>
    <rPh sb="6" eb="9">
      <t>センモンイン</t>
    </rPh>
    <phoneticPr fontId="3"/>
  </si>
  <si>
    <t>５ 介護職員</t>
    <rPh sb="2" eb="4">
      <t>カイゴ</t>
    </rPh>
    <rPh sb="4" eb="6">
      <t>ショクイン</t>
    </rPh>
    <phoneticPr fontId="3"/>
  </si>
  <si>
    <t>４ 看護職員</t>
    <rPh sb="2" eb="4">
      <t>カンゴ</t>
    </rPh>
    <rPh sb="4" eb="6">
      <t>ショクイン</t>
    </rPh>
    <phoneticPr fontId="3"/>
  </si>
  <si>
    <t>３ 薬剤師</t>
    <rPh sb="2" eb="5">
      <t>ヤクザイシ</t>
    </rPh>
    <phoneticPr fontId="3"/>
  </si>
  <si>
    <t>２ 医師</t>
    <rPh sb="2" eb="4">
      <t>イシ</t>
    </rPh>
    <phoneticPr fontId="3"/>
  </si>
  <si>
    <t>５ 加算型Ⅳ</t>
    <rPh sb="2" eb="4">
      <t>カサン</t>
    </rPh>
    <rPh sb="4" eb="5">
      <t>ガタ</t>
    </rPh>
    <phoneticPr fontId="3"/>
  </si>
  <si>
    <t>７ 加算型Ⅲ</t>
    <rPh sb="2" eb="4">
      <t>カサン</t>
    </rPh>
    <rPh sb="4" eb="5">
      <t>ガタ</t>
    </rPh>
    <phoneticPr fontId="3"/>
  </si>
  <si>
    <t>３ 加算型Ⅱ</t>
    <rPh sb="2" eb="4">
      <t>カサン</t>
    </rPh>
    <rPh sb="4" eb="5">
      <t>ガタ</t>
    </rPh>
    <phoneticPr fontId="3"/>
  </si>
  <si>
    <t>２ 加算型Ⅰ</t>
    <rPh sb="2" eb="4">
      <t>カサン</t>
    </rPh>
    <rPh sb="4" eb="5">
      <t>ガタ</t>
    </rPh>
    <phoneticPr fontId="3"/>
  </si>
  <si>
    <t>重度認知症疾患療養体制加算</t>
    <rPh sb="0" eb="2">
      <t>ジュウド</t>
    </rPh>
    <rPh sb="2" eb="5">
      <t>ニンチショウ</t>
    </rPh>
    <rPh sb="5" eb="7">
      <t>シッカン</t>
    </rPh>
    <rPh sb="7" eb="9">
      <t>リョウヨウ</t>
    </rPh>
    <rPh sb="9" eb="11">
      <t>タイセイ</t>
    </rPh>
    <rPh sb="11" eb="13">
      <t>カサン</t>
    </rPh>
    <phoneticPr fontId="3"/>
  </si>
  <si>
    <t>認知症短期集中ﾘﾊﾋﾞﾘﾃｰｼｮﾝ加算</t>
    <rPh sb="0" eb="3">
      <t>ニンチショウ</t>
    </rPh>
    <rPh sb="3" eb="5">
      <t>タンキ</t>
    </rPh>
    <rPh sb="5" eb="7">
      <t>シュウチュウ</t>
    </rPh>
    <rPh sb="17" eb="19">
      <t>カサン</t>
    </rPh>
    <phoneticPr fontId="3"/>
  </si>
  <si>
    <t>４ 言語聴覚療法 注５</t>
    <rPh sb="2" eb="4">
      <t>ゲンゴ</t>
    </rPh>
    <rPh sb="4" eb="6">
      <t>チョウカク</t>
    </rPh>
    <rPh sb="6" eb="8">
      <t>リョウホウ</t>
    </rPh>
    <rPh sb="9" eb="10">
      <t>チュウ</t>
    </rPh>
    <phoneticPr fontId="3"/>
  </si>
  <si>
    <t>３ 作業療法 注７</t>
    <rPh sb="2" eb="4">
      <t>サギョウ</t>
    </rPh>
    <rPh sb="4" eb="6">
      <t>リョウホウ</t>
    </rPh>
    <rPh sb="7" eb="8">
      <t>チュウ</t>
    </rPh>
    <phoneticPr fontId="3"/>
  </si>
  <si>
    <t>２ 理学療法 注７</t>
    <rPh sb="2" eb="4">
      <t>リガク</t>
    </rPh>
    <rPh sb="4" eb="6">
      <t>リョウホウ</t>
    </rPh>
    <rPh sb="7" eb="8">
      <t>チュウ</t>
    </rPh>
    <phoneticPr fontId="3"/>
  </si>
  <si>
    <t>リハビリテーション・口腔・栄養
に係る計画の提出</t>
    <rPh sb="10" eb="12">
      <t>コウクウ</t>
    </rPh>
    <rPh sb="13" eb="15">
      <t>エイヨウ</t>
    </rPh>
    <rPh sb="17" eb="18">
      <t>カカ</t>
    </rPh>
    <rPh sb="19" eb="21">
      <t>ケイカク</t>
    </rPh>
    <rPh sb="22" eb="24">
      <t>テイシュツ</t>
    </rPh>
    <phoneticPr fontId="3"/>
  </si>
  <si>
    <t>６ その他</t>
    <rPh sb="4" eb="5">
      <t>タ</t>
    </rPh>
    <phoneticPr fontId="3"/>
  </si>
  <si>
    <t>５ 精神科作業療法</t>
    <rPh sb="2" eb="5">
      <t>セイシンカ</t>
    </rPh>
    <rPh sb="5" eb="7">
      <t>サギョウ</t>
    </rPh>
    <rPh sb="7" eb="9">
      <t>リョウホウ</t>
    </rPh>
    <phoneticPr fontId="3"/>
  </si>
  <si>
    <t>４ 言語聴覚療法</t>
    <rPh sb="2" eb="4">
      <t>ゲンゴ</t>
    </rPh>
    <rPh sb="4" eb="6">
      <t>チョウカク</t>
    </rPh>
    <rPh sb="6" eb="8">
      <t>リョウホウ</t>
    </rPh>
    <phoneticPr fontId="3"/>
  </si>
  <si>
    <t>３ 作業療法</t>
    <rPh sb="2" eb="4">
      <t>サギョウ</t>
    </rPh>
    <rPh sb="4" eb="6">
      <t>リョウホウ</t>
    </rPh>
    <phoneticPr fontId="3"/>
  </si>
  <si>
    <t>２ 理学療法Ⅰ</t>
    <rPh sb="2" eb="4">
      <t>リガク</t>
    </rPh>
    <rPh sb="4" eb="6">
      <t>リョウホウ</t>
    </rPh>
    <phoneticPr fontId="3"/>
  </si>
  <si>
    <t>ﾘﾊﾋﾞﾘﾃｰｼｮﾝ提供体制</t>
  </si>
  <si>
    <t>３ 集団コミュニケーション療法</t>
    <phoneticPr fontId="3"/>
  </si>
  <si>
    <t>５　ユニット型Ⅱ型介護医療院</t>
  </si>
  <si>
    <t>介護医療院サービス</t>
  </si>
  <si>
    <t>２ 薬剤管理指導</t>
    <phoneticPr fontId="3"/>
  </si>
  <si>
    <t>１ 重症皮膚潰瘍管理指導</t>
    <phoneticPr fontId="3"/>
  </si>
  <si>
    <t>特別診療費項目</t>
    <rPh sb="0" eb="2">
      <t>トクベツ</t>
    </rPh>
    <rPh sb="2" eb="5">
      <t>シンリョウヒ</t>
    </rPh>
    <phoneticPr fontId="3"/>
  </si>
  <si>
    <t>２　Ⅰ型（Ⅱ）</t>
  </si>
  <si>
    <t>１　Ⅰ型（Ⅰ）</t>
  </si>
  <si>
    <t>４　ユニット型Ⅰ型介護医療院</t>
  </si>
  <si>
    <t>２ 該当</t>
    <phoneticPr fontId="3"/>
  </si>
  <si>
    <t>１ 非該当</t>
    <phoneticPr fontId="3"/>
  </si>
  <si>
    <t>■</t>
  </si>
  <si>
    <t>室料相当額控除</t>
    <phoneticPr fontId="3"/>
  </si>
  <si>
    <t>３　特別介護医療院</t>
  </si>
  <si>
    <t>３　Ⅱ型（Ⅲ）</t>
  </si>
  <si>
    <t>２　Ⅱ型（Ⅱ）</t>
  </si>
  <si>
    <t>２　Ⅱ型介護医療院</t>
    <rPh sb="4" eb="6">
      <t>カイゴ</t>
    </rPh>
    <rPh sb="6" eb="8">
      <t>イリョウ</t>
    </rPh>
    <rPh sb="8" eb="9">
      <t>イン</t>
    </rPh>
    <phoneticPr fontId="3"/>
  </si>
  <si>
    <t>介護医療院サービス</t>
    <rPh sb="0" eb="2">
      <t>カイゴ</t>
    </rPh>
    <rPh sb="2" eb="4">
      <t>イリョウ</t>
    </rPh>
    <rPh sb="4" eb="5">
      <t>イン</t>
    </rPh>
    <phoneticPr fontId="3"/>
  </si>
  <si>
    <t>１　Ⅱ型（Ⅰ）</t>
  </si>
  <si>
    <t>３　Ⅰ型（Ⅲ）</t>
  </si>
  <si>
    <t>１　Ⅰ型介護医療院</t>
  </si>
  <si>
    <t>ターミナルケア体制</t>
    <rPh sb="7" eb="9">
      <t>タイセイ</t>
    </rPh>
    <phoneticPr fontId="3"/>
  </si>
  <si>
    <t>認知症ケア加算</t>
    <rPh sb="0" eb="2">
      <t>ニンチ</t>
    </rPh>
    <rPh sb="2" eb="3">
      <t>ショウ</t>
    </rPh>
    <rPh sb="5" eb="7">
      <t>カサン</t>
    </rPh>
    <phoneticPr fontId="3"/>
  </si>
  <si>
    <t>Ａ　ユニット型介護保健施設（Ⅳ）</t>
  </si>
  <si>
    <t>介護保健施設サービス</t>
  </si>
  <si>
    <t>８ 言語聴覚士</t>
    <rPh sb="2" eb="4">
      <t>ゲンゴ</t>
    </rPh>
    <rPh sb="4" eb="7">
      <t>チョウカクシ</t>
    </rPh>
    <phoneticPr fontId="3"/>
  </si>
  <si>
    <t>７ 介護支援専門員</t>
    <rPh sb="2" eb="4">
      <t>カイゴ</t>
    </rPh>
    <rPh sb="4" eb="6">
      <t>シエン</t>
    </rPh>
    <rPh sb="6" eb="9">
      <t>センモンイン</t>
    </rPh>
    <phoneticPr fontId="3"/>
  </si>
  <si>
    <t>６ 作業療法士</t>
    <rPh sb="2" eb="4">
      <t>サギョウ</t>
    </rPh>
    <rPh sb="4" eb="7">
      <t>リョウホウシ</t>
    </rPh>
    <phoneticPr fontId="3"/>
  </si>
  <si>
    <t>５ 理学療法士</t>
    <rPh sb="2" eb="4">
      <t>リガク</t>
    </rPh>
    <rPh sb="4" eb="7">
      <t>リョウホウシ</t>
    </rPh>
    <phoneticPr fontId="3"/>
  </si>
  <si>
    <t>４ 介護職員</t>
    <rPh sb="2" eb="4">
      <t>カイゴ</t>
    </rPh>
    <rPh sb="4" eb="6">
      <t>ショクイン</t>
    </rPh>
    <phoneticPr fontId="3"/>
  </si>
  <si>
    <t>３ 看護職員</t>
    <rPh sb="2" eb="4">
      <t>カンゴ</t>
    </rPh>
    <rPh sb="4" eb="6">
      <t>ショクイン</t>
    </rPh>
    <phoneticPr fontId="3"/>
  </si>
  <si>
    <t>９　介護保健施設（Ⅳ）</t>
  </si>
  <si>
    <t>リハビリ計画書情報加算</t>
    <rPh sb="4" eb="6">
      <t>ケイカク</t>
    </rPh>
    <rPh sb="6" eb="7">
      <t>ショ</t>
    </rPh>
    <rPh sb="7" eb="9">
      <t>ジョウホウ</t>
    </rPh>
    <rPh sb="9" eb="11">
      <t>カサン</t>
    </rPh>
    <phoneticPr fontId="3"/>
  </si>
  <si>
    <t>４ その他</t>
    <rPh sb="4" eb="5">
      <t>タ</t>
    </rPh>
    <phoneticPr fontId="3"/>
  </si>
  <si>
    <t>３ 精神科作業療法</t>
    <rPh sb="2" eb="5">
      <t>セイシンカ</t>
    </rPh>
    <rPh sb="5" eb="7">
      <t>サギョウ</t>
    </rPh>
    <rPh sb="7" eb="9">
      <t>リョウホウ</t>
    </rPh>
    <phoneticPr fontId="3"/>
  </si>
  <si>
    <t>２ 言語聴覚療法</t>
    <rPh sb="2" eb="4">
      <t>ゲンゴ</t>
    </rPh>
    <rPh sb="4" eb="6">
      <t>チョウカク</t>
    </rPh>
    <rPh sb="6" eb="8">
      <t>リョウホウ</t>
    </rPh>
    <phoneticPr fontId="3"/>
  </si>
  <si>
    <t>１ ﾘﾊﾋﾞﾘﾃｰｼｮﾝ指導管理</t>
    <rPh sb="12" eb="14">
      <t>シドウ</t>
    </rPh>
    <rPh sb="14" eb="16">
      <t>カンリ</t>
    </rPh>
    <phoneticPr fontId="3"/>
  </si>
  <si>
    <t>療養体制維持特別加算Ⅱ</t>
    <rPh sb="0" eb="10">
      <t>リョウヨウタイセイイジトクベツカサン</t>
    </rPh>
    <phoneticPr fontId="3"/>
  </si>
  <si>
    <t>療養体制維持特別加算Ⅰ</t>
    <rPh sb="0" eb="2">
      <t>リョウヨウ</t>
    </rPh>
    <rPh sb="2" eb="4">
      <t>タイセイ</t>
    </rPh>
    <rPh sb="4" eb="6">
      <t>イジ</t>
    </rPh>
    <rPh sb="6" eb="8">
      <t>トクベツ</t>
    </rPh>
    <rPh sb="8" eb="10">
      <t>カサン</t>
    </rPh>
    <phoneticPr fontId="3"/>
  </si>
  <si>
    <t>８　ユニット型介護保健施設（Ⅲ）</t>
  </si>
  <si>
    <t>特別療養費加算項目</t>
    <rPh sb="0" eb="2">
      <t>トクベツ</t>
    </rPh>
    <rPh sb="2" eb="5">
      <t>リョウヨウヒ</t>
    </rPh>
    <rPh sb="5" eb="7">
      <t>カサン</t>
    </rPh>
    <rPh sb="7" eb="9">
      <t>コウモク</t>
    </rPh>
    <phoneticPr fontId="3"/>
  </si>
  <si>
    <t>６　ユニット型介護保健施設（Ⅱ）</t>
  </si>
  <si>
    <t>認知症短期集中ﾘﾊﾋﾞﾘﾃｰｼｮﾝ実施加算</t>
    <rPh sb="0" eb="3">
      <t>ニンチショウ</t>
    </rPh>
    <rPh sb="3" eb="5">
      <t>タンキ</t>
    </rPh>
    <rPh sb="5" eb="7">
      <t>シュウチュウ</t>
    </rPh>
    <rPh sb="17" eb="19">
      <t>ジッシ</t>
    </rPh>
    <rPh sb="19" eb="21">
      <t>カサン</t>
    </rPh>
    <phoneticPr fontId="3"/>
  </si>
  <si>
    <t>７　介護保健施設（Ⅲ）</t>
  </si>
  <si>
    <t>５　介護保健施設（Ⅱ）</t>
  </si>
  <si>
    <t>２　在宅強化型</t>
  </si>
  <si>
    <t>在宅復帰・在宅療養支援機能加算</t>
    <phoneticPr fontId="3"/>
  </si>
  <si>
    <t>１　基本型</t>
  </si>
  <si>
    <t>２　ユニット型介護保健施設（Ⅰ）</t>
  </si>
  <si>
    <t>介護保健施設サービス</t>
    <phoneticPr fontId="3"/>
  </si>
  <si>
    <t>１　介護保健施設（Ⅰ）</t>
  </si>
  <si>
    <t>障害者生活支援体制</t>
    <phoneticPr fontId="3"/>
  </si>
  <si>
    <t>ターミナルケアマネジメント加算</t>
    <rPh sb="13" eb="15">
      <t>カサン</t>
    </rPh>
    <phoneticPr fontId="3"/>
  </si>
  <si>
    <t>特定事業所医療介護連携加算</t>
    <rPh sb="0" eb="5">
      <t>トクテイジギョウショ</t>
    </rPh>
    <phoneticPr fontId="3"/>
  </si>
  <si>
    <t>５ 加算Ａ</t>
    <phoneticPr fontId="3"/>
  </si>
  <si>
    <t>４ 加算Ⅲ</t>
    <phoneticPr fontId="3"/>
  </si>
  <si>
    <t>特定事業所加算</t>
    <rPh sb="2" eb="5">
      <t>ジギョウショ</t>
    </rPh>
    <rPh sb="5" eb="7">
      <t>カサン</t>
    </rPh>
    <phoneticPr fontId="3"/>
  </si>
  <si>
    <t>特定事業所集中減算</t>
    <rPh sb="0" eb="2">
      <t>トクテイ</t>
    </rPh>
    <rPh sb="2" eb="5">
      <t>ジギョウショ</t>
    </rPh>
    <rPh sb="5" eb="7">
      <t>シュウチュウ</t>
    </rPh>
    <rPh sb="7" eb="9">
      <t>ゲンサン</t>
    </rPh>
    <phoneticPr fontId="3"/>
  </si>
  <si>
    <t>居宅介護支援</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</si>
  <si>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3"/>
  </si>
  <si>
    <t>特別地域加算</t>
    <phoneticPr fontId="3"/>
  </si>
  <si>
    <t>サービス提供体制強化加算</t>
    <phoneticPr fontId="3"/>
  </si>
  <si>
    <t>６　軽費老人ホーム（混合型）</t>
  </si>
  <si>
    <t>５　有料老人ホーム（混合型）</t>
  </si>
  <si>
    <t>(短期利用型)</t>
  </si>
  <si>
    <t>若年性認知症入居者受入加算</t>
    <phoneticPr fontId="3"/>
  </si>
  <si>
    <t>２　軽費老人ホーム（介護専用型）</t>
  </si>
  <si>
    <t>２ 加算Ⅱ</t>
    <rPh sb="2" eb="4">
      <t>カサン</t>
    </rPh>
    <phoneticPr fontId="3"/>
  </si>
  <si>
    <t>夜間看護体制加算</t>
    <rPh sb="0" eb="2">
      <t>ヤカン</t>
    </rPh>
    <rPh sb="2" eb="4">
      <t>カンゴ</t>
    </rPh>
    <rPh sb="4" eb="6">
      <t>タイセイ</t>
    </rPh>
    <rPh sb="6" eb="8">
      <t>カサン</t>
    </rPh>
    <phoneticPr fontId="3"/>
  </si>
  <si>
    <t>１　有料老人ホーム（介護専用型）</t>
  </si>
  <si>
    <t>看取り介護加算</t>
    <rPh sb="0" eb="2">
      <t>ミト</t>
    </rPh>
    <rPh sb="3" eb="5">
      <t>カイゴ</t>
    </rPh>
    <rPh sb="5" eb="7">
      <t>カサン</t>
    </rPh>
    <phoneticPr fontId="3"/>
  </si>
  <si>
    <t>７　養護老人ホーム（混合型）</t>
  </si>
  <si>
    <t>　　利用型</t>
  </si>
  <si>
    <t>２　外部サービス</t>
  </si>
  <si>
    <t>３　養護老人ホーム（介護専用型）</t>
  </si>
  <si>
    <t>特定施設入居者生活介護</t>
    <phoneticPr fontId="3"/>
  </si>
  <si>
    <t>１　一般型</t>
  </si>
  <si>
    <t>テクノロジーの導入
（入居継続支援加算関係）</t>
    <rPh sb="11" eb="13">
      <t>ニュウキョ</t>
    </rPh>
    <rPh sb="13" eb="15">
      <t>ケイゾク</t>
    </rPh>
    <rPh sb="15" eb="17">
      <t>シエン</t>
    </rPh>
    <rPh sb="17" eb="19">
      <t>カサン</t>
    </rPh>
    <rPh sb="19" eb="21">
      <t>カンケイ</t>
    </rPh>
    <phoneticPr fontId="3"/>
  </si>
  <si>
    <t>入居継続支援加算</t>
    <rPh sb="0" eb="2">
      <t>ニュウキョ</t>
    </rPh>
    <rPh sb="2" eb="4">
      <t>ケイゾク</t>
    </rPh>
    <rPh sb="4" eb="6">
      <t>シエン</t>
    </rPh>
    <phoneticPr fontId="3"/>
  </si>
  <si>
    <t>身体拘束廃止取組の有無</t>
    <phoneticPr fontId="3"/>
  </si>
  <si>
    <t>併設本体施設における介護職員等処遇改善加算Ⅰの届出状況</t>
    <phoneticPr fontId="3"/>
  </si>
  <si>
    <t>送迎体制</t>
  </si>
  <si>
    <t>６　ユニット型特別介護医療院</t>
  </si>
  <si>
    <t>短期入所療養介護</t>
    <phoneticPr fontId="3"/>
  </si>
  <si>
    <t>2A</t>
    <phoneticPr fontId="3"/>
  </si>
  <si>
    <t>特別診療費項目</t>
    <rPh sb="0" eb="1">
      <t>トク</t>
    </rPh>
    <rPh sb="1" eb="2">
      <t>ベツ</t>
    </rPh>
    <phoneticPr fontId="3"/>
  </si>
  <si>
    <t>４　ユニット型Ⅰ型介護医療院</t>
    <rPh sb="8" eb="9">
      <t>ガタ</t>
    </rPh>
    <rPh sb="9" eb="11">
      <t>カイゴ</t>
    </rPh>
    <rPh sb="11" eb="13">
      <t>イリョウ</t>
    </rPh>
    <rPh sb="13" eb="14">
      <t>イン</t>
    </rPh>
    <phoneticPr fontId="3"/>
  </si>
  <si>
    <t>特別診療費項目</t>
    <rPh sb="0" eb="2">
      <t>トクベツ</t>
    </rPh>
    <phoneticPr fontId="3"/>
  </si>
  <si>
    <t>２　Ⅱ型介護医療院</t>
  </si>
  <si>
    <t xml:space="preserve">３　Ⅰ型（Ⅲ） </t>
  </si>
  <si>
    <t>送迎体制</t>
    <phoneticPr fontId="3"/>
  </si>
  <si>
    <t>夜間勤務条件基準</t>
    <phoneticPr fontId="3"/>
  </si>
  <si>
    <t>ﾘﾊﾋﾞﾘﾃｰｼｮﾝ提供体制</t>
    <phoneticPr fontId="3"/>
  </si>
  <si>
    <t>特定診療費項目</t>
    <phoneticPr fontId="3"/>
  </si>
  <si>
    <t>　　強化型Ｂ</t>
  </si>
  <si>
    <t>３　療養機能</t>
  </si>
  <si>
    <t>認知症専門ケア加算</t>
    <phoneticPr fontId="3"/>
  </si>
  <si>
    <t>　　強化型Ａ</t>
  </si>
  <si>
    <t>２　療養機能</t>
  </si>
  <si>
    <t>７　ユニット型診療所型</t>
  </si>
  <si>
    <t>　　強化型以外</t>
  </si>
  <si>
    <t>１　療養機能</t>
  </si>
  <si>
    <t>食堂の有無</t>
    <rPh sb="0" eb="2">
      <t>ショクドウ</t>
    </rPh>
    <rPh sb="3" eb="5">
      <t>ウム</t>
    </rPh>
    <phoneticPr fontId="3"/>
  </si>
  <si>
    <t>設備基準</t>
    <rPh sb="0" eb="2">
      <t>セツビ</t>
    </rPh>
    <rPh sb="2" eb="4">
      <t>キジュン</t>
    </rPh>
    <phoneticPr fontId="3"/>
  </si>
  <si>
    <t>　　強化型Ｂ）</t>
  </si>
  <si>
    <t>特定診療費項目</t>
  </si>
  <si>
    <t>４　Ⅰ型（療養機能</t>
  </si>
  <si>
    <t>　　強化型Ａ）</t>
    <phoneticPr fontId="3"/>
  </si>
  <si>
    <t>２　診療所型</t>
  </si>
  <si>
    <t>３　Ⅰ型（療養機能</t>
  </si>
  <si>
    <t>　　強化型以外）</t>
  </si>
  <si>
    <t>１　Ⅰ型（療養機能</t>
  </si>
  <si>
    <t>３　Ⅱ型</t>
  </si>
  <si>
    <t>Ｃ　ユニット型病院経過型</t>
  </si>
  <si>
    <t>２　Ⅰ型</t>
  </si>
  <si>
    <t>Ａ　病院経過型</t>
  </si>
  <si>
    <t>２ 医療法施行規則第49条適用</t>
    <rPh sb="2" eb="4">
      <t>イリョウ</t>
    </rPh>
    <rPh sb="4" eb="5">
      <t>ホウ</t>
    </rPh>
    <rPh sb="5" eb="7">
      <t>シコウ</t>
    </rPh>
    <rPh sb="7" eb="9">
      <t>キソク</t>
    </rPh>
    <rPh sb="9" eb="10">
      <t>ダイ</t>
    </rPh>
    <rPh sb="12" eb="13">
      <t>ジョウ</t>
    </rPh>
    <rPh sb="13" eb="15">
      <t>テキヨウ</t>
    </rPh>
    <phoneticPr fontId="3"/>
  </si>
  <si>
    <t>１ 基準</t>
    <rPh sb="2" eb="4">
      <t>キジュン</t>
    </rPh>
    <phoneticPr fontId="3"/>
  </si>
  <si>
    <t>医師の配置基準</t>
  </si>
  <si>
    <t>療養環境基準</t>
    <phoneticPr fontId="3"/>
  </si>
  <si>
    <t>６　ユニット型病院療養型</t>
  </si>
  <si>
    <t>４　Ⅲ型</t>
  </si>
  <si>
    <t>　　強化型）</t>
  </si>
  <si>
    <t>７　Ⅱ型（療養機能</t>
  </si>
  <si>
    <t>３　Ⅱ型（療養機能</t>
  </si>
  <si>
    <t>１　病院療養型</t>
  </si>
  <si>
    <t>６　Ⅰ型（療養機能</t>
  </si>
  <si>
    <t>　　強化型Ａ）</t>
  </si>
  <si>
    <t>５　Ⅰ型（療養機能</t>
  </si>
  <si>
    <t>２　Ⅰ型（療養機能</t>
  </si>
  <si>
    <t>Ａ　ユニット型介護老人保健施設（Ⅳ）</t>
  </si>
  <si>
    <t>７ 言語聴覚士</t>
    <rPh sb="2" eb="4">
      <t>ゲンゴ</t>
    </rPh>
    <rPh sb="4" eb="7">
      <t>チョウカクシ</t>
    </rPh>
    <phoneticPr fontId="3"/>
  </si>
  <si>
    <t>職員の欠員による減算の状況</t>
    <phoneticPr fontId="3"/>
  </si>
  <si>
    <t>９　介護老人保健施設（Ⅳ）</t>
  </si>
  <si>
    <t>療養体制維持特別加算Ⅱ</t>
    <rPh sb="0" eb="2">
      <t>リョウヨウ</t>
    </rPh>
    <rPh sb="2" eb="4">
      <t>タイセイ</t>
    </rPh>
    <rPh sb="4" eb="6">
      <t>イジ</t>
    </rPh>
    <rPh sb="6" eb="8">
      <t>トクベツ</t>
    </rPh>
    <rPh sb="8" eb="10">
      <t>カサン</t>
    </rPh>
    <phoneticPr fontId="3"/>
  </si>
  <si>
    <t>特別療養費加算項目</t>
    <rPh sb="0" eb="2">
      <t>トクベツ</t>
    </rPh>
    <rPh sb="2" eb="4">
      <t>リョウヨウ</t>
    </rPh>
    <rPh sb="4" eb="5">
      <t>ヒ</t>
    </rPh>
    <rPh sb="5" eb="7">
      <t>カサン</t>
    </rPh>
    <rPh sb="7" eb="9">
      <t>コウモク</t>
    </rPh>
    <phoneticPr fontId="3"/>
  </si>
  <si>
    <t>８　ユニット型介護老人保健施設（Ⅲ）</t>
  </si>
  <si>
    <t>６　ユニット型介護老人保健施設（Ⅱ）</t>
  </si>
  <si>
    <t>３ その他</t>
    <rPh sb="4" eb="5">
      <t>タ</t>
    </rPh>
    <phoneticPr fontId="3"/>
  </si>
  <si>
    <t>２ 精神科作業療法</t>
    <rPh sb="2" eb="5">
      <t>セイシンカ</t>
    </rPh>
    <rPh sb="5" eb="7">
      <t>サギョウ</t>
    </rPh>
    <rPh sb="7" eb="9">
      <t>リョウホウ</t>
    </rPh>
    <phoneticPr fontId="3"/>
  </si>
  <si>
    <t>１ 言語聴覚療法</t>
    <rPh sb="2" eb="4">
      <t>ゲンゴ</t>
    </rPh>
    <rPh sb="4" eb="6">
      <t>チョウカク</t>
    </rPh>
    <rPh sb="6" eb="8">
      <t>リョウホウ</t>
    </rPh>
    <phoneticPr fontId="3"/>
  </si>
  <si>
    <t>ﾘﾊﾋﾞﾘﾃｰｼｮﾝ提供体制</t>
    <rPh sb="10" eb="12">
      <t>テイキョウ</t>
    </rPh>
    <rPh sb="12" eb="14">
      <t>タイセイ</t>
    </rPh>
    <phoneticPr fontId="3"/>
  </si>
  <si>
    <t>７　介護老人保健施設（Ⅲ）</t>
  </si>
  <si>
    <t>５　介護老人保健施設（Ⅱ）</t>
  </si>
  <si>
    <t>２　ユニット型介護老人保健施設（Ⅰ）</t>
  </si>
  <si>
    <t>１　介護老人保健施設（Ⅰ）</t>
  </si>
  <si>
    <t>７ 加算Ⅲ</t>
    <rPh sb="2" eb="4">
      <t>カサン</t>
    </rPh>
    <phoneticPr fontId="3"/>
  </si>
  <si>
    <t>５ 加算Ⅱ</t>
    <rPh sb="2" eb="4">
      <t>カサン</t>
    </rPh>
    <phoneticPr fontId="3"/>
  </si>
  <si>
    <t>６ 加算Ⅰ</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</si>
  <si>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</si>
  <si>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サービス提供体制強化加算
（単独型）</t>
    <rPh sb="4" eb="6">
      <t>テイキョウ</t>
    </rPh>
    <rPh sb="6" eb="8">
      <t>タイセイ</t>
    </rPh>
    <rPh sb="8" eb="10">
      <t>キョウカ</t>
    </rPh>
    <rPh sb="10" eb="12">
      <t>カサン</t>
    </rPh>
    <rPh sb="14" eb="17">
      <t>タンドクガタ</t>
    </rPh>
    <phoneticPr fontId="3"/>
  </si>
  <si>
    <t>４　併設型・空床型ユニット型</t>
  </si>
  <si>
    <t>３ 加算Ⅲ・加算Ⅳ</t>
    <rPh sb="2" eb="4">
      <t>カサン</t>
    </rPh>
    <rPh sb="6" eb="8">
      <t>カサン</t>
    </rPh>
    <phoneticPr fontId="3"/>
  </si>
  <si>
    <t>３　単独型ユニット型</t>
  </si>
  <si>
    <t>看取り連携体制加算</t>
    <phoneticPr fontId="3"/>
  </si>
  <si>
    <t>２　併設型・空床型</t>
  </si>
  <si>
    <t>短期入所生活介護</t>
    <phoneticPr fontId="3"/>
  </si>
  <si>
    <t>医療連携強化加算</t>
    <rPh sb="0" eb="2">
      <t>イリョウ</t>
    </rPh>
    <rPh sb="2" eb="4">
      <t>レンケイ</t>
    </rPh>
    <rPh sb="4" eb="6">
      <t>キョウカ</t>
    </rPh>
    <rPh sb="6" eb="8">
      <t>カサン</t>
    </rPh>
    <phoneticPr fontId="3"/>
  </si>
  <si>
    <t>１　単独型</t>
  </si>
  <si>
    <t>３ 加算Ⅳ</t>
    <phoneticPr fontId="3"/>
  </si>
  <si>
    <t>看護体制加算Ⅱ又はⅣ</t>
    <rPh sb="0" eb="2">
      <t>カンゴ</t>
    </rPh>
    <rPh sb="2" eb="4">
      <t>タイセイ</t>
    </rPh>
    <rPh sb="4" eb="6">
      <t>カサン</t>
    </rPh>
    <rPh sb="7" eb="8">
      <t>マタ</t>
    </rPh>
    <phoneticPr fontId="3"/>
  </si>
  <si>
    <t>３ 加算Ⅲ</t>
    <phoneticPr fontId="3"/>
  </si>
  <si>
    <t>看護体制加算Ⅰ又はⅢ</t>
    <rPh sb="0" eb="2">
      <t>カンゴ</t>
    </rPh>
    <rPh sb="2" eb="4">
      <t>タイセイ</t>
    </rPh>
    <rPh sb="4" eb="6">
      <t>カサン</t>
    </rPh>
    <rPh sb="7" eb="8">
      <t>マタ</t>
    </rPh>
    <phoneticPr fontId="3"/>
  </si>
  <si>
    <t>個別機能訓練体制</t>
    <rPh sb="0" eb="2">
      <t>コベツ</t>
    </rPh>
    <rPh sb="2" eb="4">
      <t>キノウ</t>
    </rPh>
    <rPh sb="4" eb="6">
      <t>クンレン</t>
    </rPh>
    <rPh sb="6" eb="8">
      <t>タイセイ</t>
    </rPh>
    <phoneticPr fontId="3"/>
  </si>
  <si>
    <t>機能訓練指導体制</t>
  </si>
  <si>
    <t>生活相談員配置等加算</t>
    <rPh sb="0" eb="2">
      <t>セイカツ</t>
    </rPh>
    <rPh sb="2" eb="5">
      <t>ソウダンイン</t>
    </rPh>
    <rPh sb="5" eb="7">
      <t>ハイチ</t>
    </rPh>
    <rPh sb="7" eb="8">
      <t>トウ</t>
    </rPh>
    <rPh sb="8" eb="10">
      <t>カサン</t>
    </rPh>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</si>
  <si>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</si>
  <si>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６ 加算Ⅲ</t>
    <phoneticPr fontId="3"/>
  </si>
  <si>
    <t>４ 加算Ⅱ</t>
    <phoneticPr fontId="3"/>
  </si>
  <si>
    <t>５ 加算Ⅰ</t>
    <phoneticPr fontId="3"/>
  </si>
  <si>
    <t>移行支援加算</t>
    <rPh sb="0" eb="2">
      <t>イコウ</t>
    </rPh>
    <rPh sb="4" eb="6">
      <t>カサン</t>
    </rPh>
    <phoneticPr fontId="86"/>
  </si>
  <si>
    <t>中重度者ケア体制加算</t>
    <phoneticPr fontId="3"/>
  </si>
  <si>
    <t>Ｊ　大規模の事業所(特例)(介護医療院)</t>
    <phoneticPr fontId="3"/>
  </si>
  <si>
    <t>生活行為向上ﾘﾊﾋﾞﾘﾃｰｼｮﾝ実施加算</t>
    <rPh sb="0" eb="2">
      <t>セイカツ</t>
    </rPh>
    <rPh sb="2" eb="4">
      <t>コウイ</t>
    </rPh>
    <rPh sb="4" eb="6">
      <t>コウジョウ</t>
    </rPh>
    <rPh sb="16" eb="18">
      <t>ジッシ</t>
    </rPh>
    <rPh sb="19" eb="20">
      <t>カサン</t>
    </rPh>
    <phoneticPr fontId="3"/>
  </si>
  <si>
    <t>Ｈ　大規模の事業所(特例)(介護老人保健施設)</t>
    <phoneticPr fontId="3"/>
  </si>
  <si>
    <t>Ｇ　大規模の事業所(特例)(病院・診療所)</t>
    <rPh sb="10" eb="12">
      <t>トクレイ</t>
    </rPh>
    <phoneticPr fontId="3"/>
  </si>
  <si>
    <t>Ｆ　大規模の事業所(介護医療院)</t>
    <phoneticPr fontId="3"/>
  </si>
  <si>
    <t>Ｅ　大規模の事業所(介護老人保健施設)</t>
    <phoneticPr fontId="3"/>
  </si>
  <si>
    <t>通所リハビリテーション</t>
    <phoneticPr fontId="3"/>
  </si>
  <si>
    <t>８ 加算ハ</t>
    <rPh sb="2" eb="4">
      <t>カサン</t>
    </rPh>
    <phoneticPr fontId="3"/>
  </si>
  <si>
    <t>Ｄ　大規模の事業所(病院・診療所)</t>
    <phoneticPr fontId="3"/>
  </si>
  <si>
    <t>Ａ　通常規模の事業所(介護医療院)</t>
  </si>
  <si>
    <t>ﾘﾊﾋﾞﾘﾃｰｼｮﾝ提供体制加算</t>
    <rPh sb="10" eb="12">
      <t>テイキョウ</t>
    </rPh>
    <rPh sb="12" eb="14">
      <t>タイセイ</t>
    </rPh>
    <rPh sb="14" eb="16">
      <t>カサン</t>
    </rPh>
    <phoneticPr fontId="3"/>
  </si>
  <si>
    <t>７　通常規模の事業所(介護老人保健施設)</t>
  </si>
  <si>
    <t>時間延長サービス体制</t>
    <rPh sb="0" eb="2">
      <t>ジカン</t>
    </rPh>
    <rPh sb="2" eb="4">
      <t>エンチョウ</t>
    </rPh>
    <rPh sb="8" eb="10">
      <t>タイセイ</t>
    </rPh>
    <phoneticPr fontId="3"/>
  </si>
  <si>
    <t>４　通常規模の事業所(病院・診療所)</t>
  </si>
  <si>
    <t>感染症又は災害の発生を理由とする利用者数の減少が一定以上生じている場合の対応</t>
    <phoneticPr fontId="3"/>
  </si>
  <si>
    <t>個別機能訓練加算</t>
    <rPh sb="0" eb="2">
      <t>コベツ</t>
    </rPh>
    <rPh sb="2" eb="4">
      <t>キノウ</t>
    </rPh>
    <rPh sb="4" eb="8">
      <t>クンレンカサン</t>
    </rPh>
    <phoneticPr fontId="3"/>
  </si>
  <si>
    <t>在宅中心静脈栄養法加算</t>
    <phoneticPr fontId="3"/>
  </si>
  <si>
    <t>医療用麻薬持続注射療法加算</t>
    <phoneticPr fontId="3"/>
  </si>
  <si>
    <t>居宅療養管理指導</t>
    <rPh sb="0" eb="2">
      <t>キョタク</t>
    </rPh>
    <rPh sb="2" eb="4">
      <t>リョウヨウ</t>
    </rPh>
    <rPh sb="4" eb="6">
      <t>カンリ</t>
    </rPh>
    <rPh sb="6" eb="8">
      <t>シドウ</t>
    </rPh>
    <phoneticPr fontId="3"/>
  </si>
  <si>
    <t>サービス提供体制強化加算</t>
    <rPh sb="4" eb="6">
      <t>テイキョウ</t>
    </rPh>
    <rPh sb="6" eb="8">
      <t>タイセイ</t>
    </rPh>
    <rPh sb="8" eb="10">
      <t>キョウカ</t>
    </rPh>
    <rPh sb="10" eb="12">
      <t>カサン</t>
    </rPh>
    <phoneticPr fontId="86"/>
  </si>
  <si>
    <t>訪問リハビリテーション</t>
  </si>
  <si>
    <t>１　病院又は診療所</t>
    <phoneticPr fontId="3"/>
  </si>
  <si>
    <t>３ 加算Ⅱ（ハの場合）</t>
    <phoneticPr fontId="3"/>
  </si>
  <si>
    <t>５ 加算Ⅰ（ハの場合）</t>
    <phoneticPr fontId="3"/>
  </si>
  <si>
    <t>２ 加算Ⅱ（イ及びロの場合）</t>
    <rPh sb="7" eb="8">
      <t>オヨ</t>
    </rPh>
    <rPh sb="11" eb="13">
      <t>バアイ</t>
    </rPh>
    <phoneticPr fontId="3"/>
  </si>
  <si>
    <t>４ 加算Ⅰ（イ及びロの場合）</t>
    <rPh sb="7" eb="8">
      <t>オヨ</t>
    </rPh>
    <rPh sb="11" eb="13">
      <t>バアイ</t>
    </rPh>
    <phoneticPr fontId="3"/>
  </si>
  <si>
    <t>看護体制強化加算</t>
    <rPh sb="0" eb="2">
      <t>カンゴ</t>
    </rPh>
    <rPh sb="2" eb="4">
      <t>タイセイ</t>
    </rPh>
    <rPh sb="4" eb="6">
      <t>キョウカ</t>
    </rPh>
    <rPh sb="6" eb="8">
      <t>カサン</t>
    </rPh>
    <phoneticPr fontId="86"/>
  </si>
  <si>
    <t>遠隔死亡診断補助加算</t>
    <rPh sb="0" eb="2">
      <t>エンカク</t>
    </rPh>
    <rPh sb="2" eb="4">
      <t>シボウ</t>
    </rPh>
    <rPh sb="4" eb="6">
      <t>シンダン</t>
    </rPh>
    <rPh sb="6" eb="8">
      <t>ホジョ</t>
    </rPh>
    <rPh sb="8" eb="10">
      <t>カサン</t>
    </rPh>
    <phoneticPr fontId="86"/>
  </si>
  <si>
    <t>ターミナルケア体制</t>
    <rPh sb="7" eb="9">
      <t>タイセイ</t>
    </rPh>
    <phoneticPr fontId="86"/>
  </si>
  <si>
    <t>専門管理加算</t>
    <rPh sb="0" eb="2">
      <t>センモン</t>
    </rPh>
    <rPh sb="2" eb="4">
      <t>カンリ</t>
    </rPh>
    <rPh sb="4" eb="6">
      <t>カサン</t>
    </rPh>
    <phoneticPr fontId="86"/>
  </si>
  <si>
    <t>３　定期巡回・随時対応サービス連携</t>
  </si>
  <si>
    <t>特別管理体制</t>
    <phoneticPr fontId="86"/>
  </si>
  <si>
    <t>緊急時訪問看護加算</t>
    <phoneticPr fontId="86"/>
  </si>
  <si>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86"/>
  </si>
  <si>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86"/>
  </si>
  <si>
    <t>特別地域加算</t>
    <rPh sb="0" eb="2">
      <t>トクベツ</t>
    </rPh>
    <rPh sb="2" eb="4">
      <t>チイキ</t>
    </rPh>
    <rPh sb="4" eb="6">
      <t>カサン</t>
    </rPh>
    <phoneticPr fontId="86"/>
  </si>
  <si>
    <t>５ 加算Ⅲ</t>
    <phoneticPr fontId="3"/>
  </si>
  <si>
    <t>４ 加算Ⅰ</t>
    <phoneticPr fontId="3"/>
  </si>
  <si>
    <t>特別地域加算</t>
    <phoneticPr fontId="86"/>
  </si>
  <si>
    <t>３　通院等乗降介助</t>
    <phoneticPr fontId="3"/>
  </si>
  <si>
    <t>特定事業所加算Ⅴ</t>
    <rPh sb="0" eb="2">
      <t>トクテイ</t>
    </rPh>
    <rPh sb="2" eb="5">
      <t>ジギョウショ</t>
    </rPh>
    <rPh sb="5" eb="7">
      <t>カサン</t>
    </rPh>
    <phoneticPr fontId="86"/>
  </si>
  <si>
    <t>５ 加算Ⅳ</t>
    <phoneticPr fontId="3"/>
  </si>
  <si>
    <t>特定事業所加算（Ⅴ以外）</t>
    <rPh sb="0" eb="2">
      <t>トクテイ</t>
    </rPh>
    <rPh sb="2" eb="5">
      <t>ジギョウショ</t>
    </rPh>
    <rPh sb="5" eb="7">
      <t>カサン</t>
    </rPh>
    <rPh sb="9" eb="11">
      <t>イガイ</t>
    </rPh>
    <phoneticPr fontId="8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</si>
</sst>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0;[Red]\-#,##0.0"/>
    <numFmt numFmtId="178" formatCode="0.0%"/>
    <numFmt numFmtId="179" formatCode="0.0"/>
    <numFmt numFmtId="180" formatCode="0.000"/>
    <numFmt numFmtId="181" formatCode="####&quot;年&quot;"/>
    <numFmt numFmtId="182" formatCode="[&lt;=999]000;[&lt;=9999]000\-00;000\-0000"/>
    <numFmt numFmtId="183" formatCode="\(&quot;月&quot;&quot;の&quot;&quot;日&quot;&quot;数&quot;0\)"/>
    <numFmt numFmtId="184" formatCode="\(aaa\)"/>
    <numFmt numFmtId="185" formatCode="\(0.00\)"/>
    <numFmt numFmtId="186" formatCode="\(0\)&quot;月の計&quot;"/>
    <numFmt numFmtId="187" formatCode="\(0\)\4&quot;週計&quot;"/>
    <numFmt numFmtId="188" formatCode="0&quot;回&quot;"/>
    <numFmt numFmtId="189" formatCode="0&quot;人&quot;"/>
    <numFmt numFmtId="190" formatCode="h:mm;@"/>
  </numFmts>
  <fonts count="93">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1"/>
      <color indexed="8"/>
      <name val="HGSｺﾞｼｯｸM"/>
      <family val="3"/>
      <charset val="128"/>
    </font>
    <font>
      <sz val="10"/>
      <color indexed="8"/>
      <name val="HGSｺﾞｼｯｸM"/>
      <family val="3"/>
      <charset val="128"/>
    </font>
    <font>
      <sz val="9"/>
      <name val="HGSｺﾞｼｯｸM"/>
      <family val="3"/>
      <charset val="128"/>
    </font>
    <font>
      <sz val="8"/>
      <name val="HGSｺﾞｼｯｸM"/>
      <family val="3"/>
      <charset val="128"/>
    </font>
    <font>
      <sz val="11"/>
      <name val="HGPｺﾞｼｯｸM"/>
      <family val="3"/>
      <charset val="128"/>
    </font>
    <font>
      <sz val="12"/>
      <name val="HGPｺﾞｼｯｸM"/>
      <family val="3"/>
      <charset val="128"/>
    </font>
    <font>
      <sz val="10"/>
      <name val="HGPｺﾞｼｯｸM"/>
      <family val="3"/>
      <charset val="128"/>
    </font>
    <font>
      <b/>
      <sz val="14"/>
      <name val="HGSｺﾞｼｯｸM"/>
      <family val="3"/>
      <charset val="128"/>
    </font>
    <font>
      <b/>
      <sz val="11"/>
      <name val="HGPｺﾞｼｯｸM"/>
      <family val="3"/>
      <charset val="128"/>
    </font>
    <font>
      <b/>
      <sz val="14"/>
      <name val="HGPｺﾞｼｯｸM"/>
      <family val="3"/>
      <charset val="128"/>
    </font>
    <font>
      <i/>
      <sz val="10"/>
      <name val="HGPｺﾞｼｯｸM"/>
      <family val="3"/>
      <charset val="128"/>
    </font>
    <font>
      <sz val="11"/>
      <color indexed="10"/>
      <name val="HGPｺﾞｼｯｸM"/>
      <family val="3"/>
      <charset val="128"/>
    </font>
    <font>
      <sz val="10"/>
      <color indexed="10"/>
      <name val="HGPｺﾞｼｯｸM"/>
      <family val="3"/>
      <charset val="128"/>
    </font>
    <font>
      <sz val="10"/>
      <name val="HG丸ｺﾞｼｯｸM-PRO"/>
      <family val="3"/>
      <charset val="128"/>
    </font>
    <font>
      <sz val="16"/>
      <name val="HG丸ｺﾞｼｯｸM-PRO"/>
      <family val="3"/>
      <charset val="128"/>
    </font>
    <font>
      <sz val="8"/>
      <name val="HG丸ｺﾞｼｯｸM-PRO"/>
      <family val="3"/>
      <charset val="128"/>
    </font>
    <font>
      <sz val="8"/>
      <color indexed="10"/>
      <name val="HG丸ｺﾞｼｯｸM-PRO"/>
      <family val="3"/>
      <charset val="128"/>
    </font>
    <font>
      <sz val="10.5"/>
      <name val="HGSｺﾞｼｯｸM"/>
      <family val="3"/>
      <charset val="128"/>
    </font>
    <font>
      <sz val="20"/>
      <name val="HGSｺﾞｼｯｸM"/>
      <family val="3"/>
      <charset val="128"/>
    </font>
    <font>
      <sz val="12"/>
      <name val="HGPｺﾞｼｯｸE"/>
      <family val="3"/>
      <charset val="128"/>
    </font>
    <font>
      <u/>
      <sz val="8"/>
      <color indexed="10"/>
      <name val="HGSｺﾞｼｯｸM"/>
      <family val="3"/>
      <charset val="128"/>
    </font>
    <font>
      <sz val="11"/>
      <color theme="1"/>
      <name val="ＭＳ Ｐゴシック"/>
      <family val="3"/>
      <charset val="128"/>
      <scheme val="minor"/>
    </font>
    <font>
      <b/>
      <sz val="11"/>
      <color theme="1"/>
      <name val="ＭＳ Ｐゴシック"/>
      <family val="3"/>
      <charset val="128"/>
      <scheme val="minor"/>
    </font>
    <font>
      <sz val="10"/>
      <color rgb="FF0000FF"/>
      <name val="HGSｺﾞｼｯｸM"/>
      <family val="3"/>
      <charset val="128"/>
    </font>
    <font>
      <sz val="10"/>
      <color rgb="FFFF0000"/>
      <name val="HGSｺﾞｼｯｸM"/>
      <family val="3"/>
      <charset val="128"/>
    </font>
    <font>
      <sz val="10"/>
      <color rgb="FFFF0000"/>
      <name val="HGPｺﾞｼｯｸM"/>
      <family val="3"/>
      <charset val="128"/>
    </font>
    <font>
      <b/>
      <sz val="14"/>
      <color rgb="FFFF0000"/>
      <name val="HGSｺﾞｼｯｸM"/>
      <family val="3"/>
      <charset val="128"/>
    </font>
    <font>
      <sz val="11"/>
      <color rgb="FFFF0000"/>
      <name val="HGPｺﾞｼｯｸM"/>
      <family val="3"/>
      <charset val="128"/>
    </font>
    <font>
      <b/>
      <sz val="14"/>
      <color rgb="FFFF0000"/>
      <name val="HGPｺﾞｼｯｸM"/>
      <family val="3"/>
      <charset val="128"/>
    </font>
    <font>
      <sz val="11"/>
      <color theme="0"/>
      <name val="HGPｺﾞｼｯｸM"/>
      <family val="3"/>
      <charset val="128"/>
    </font>
    <font>
      <b/>
      <u/>
      <sz val="16"/>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4"/>
      <color theme="0"/>
      <name val="HGPｺﾞｼｯｸM"/>
      <family val="3"/>
      <charset val="128"/>
    </font>
    <font>
      <sz val="8"/>
      <color rgb="FFFF0000"/>
      <name val="HG丸ｺﾞｼｯｸM-PRO"/>
      <family val="3"/>
      <charset val="128"/>
    </font>
    <font>
      <sz val="11"/>
      <color theme="1"/>
      <name val="HG丸ｺﾞｼｯｸM-PRO"/>
      <family val="3"/>
      <charset val="128"/>
    </font>
    <font>
      <sz val="12"/>
      <color theme="1"/>
      <name val="HG丸ｺﾞｼｯｸM-PRO"/>
      <family val="3"/>
      <charset val="128"/>
    </font>
    <font>
      <sz val="10"/>
      <color rgb="FFFF0000"/>
      <name val="HG丸ｺﾞｼｯｸM-PRO"/>
      <family val="3"/>
      <charset val="128"/>
    </font>
    <font>
      <sz val="7"/>
      <color rgb="FFFF0000"/>
      <name val="HG丸ｺﾞｼｯｸM-PRO"/>
      <family val="3"/>
      <charset val="128"/>
    </font>
    <font>
      <sz val="11"/>
      <color indexed="10"/>
      <name val="HGSｺﾞｼｯｸM"/>
      <family val="3"/>
      <charset val="128"/>
    </font>
    <font>
      <b/>
      <sz val="11"/>
      <name val="HGSｺﾞｼｯｸM"/>
      <family val="3"/>
      <charset val="128"/>
    </font>
    <font>
      <strike/>
      <sz val="11"/>
      <name val="HGSｺﾞｼｯｸM"/>
      <family val="3"/>
      <charset val="128"/>
    </font>
    <font>
      <strike/>
      <sz val="11"/>
      <color indexed="10"/>
      <name val="HGSｺﾞｼｯｸM"/>
      <family val="3"/>
      <charset val="128"/>
    </font>
    <font>
      <strike/>
      <sz val="10"/>
      <name val="HGSｺﾞｼｯｸM"/>
      <family val="3"/>
      <charset val="128"/>
    </font>
    <font>
      <sz val="14"/>
      <name val="HGSｺﾞｼｯｸM"/>
      <family val="3"/>
      <charset val="128"/>
    </font>
    <font>
      <sz val="11"/>
      <name val="ＭＳ Ｐゴシック"/>
      <family val="3"/>
      <charset val="128"/>
      <scheme val="minor"/>
    </font>
    <font>
      <sz val="11"/>
      <color rgb="FFFF0000"/>
      <name val="ＭＳ Ｐゴシック"/>
      <family val="3"/>
      <charset val="128"/>
      <scheme val="minor"/>
    </font>
    <font>
      <u/>
      <sz val="11"/>
      <name val="ＭＳ Ｐゴシック"/>
      <family val="3"/>
      <charset val="128"/>
    </font>
    <font>
      <sz val="11"/>
      <name val="Wingdings"/>
      <charset val="2"/>
    </font>
    <font>
      <sz val="12"/>
      <name val="HGSｺﾞｼｯｸM"/>
      <family val="3"/>
      <charset val="128"/>
    </font>
    <font>
      <sz val="10"/>
      <color theme="1"/>
      <name val="HGSｺﾞｼｯｸM"/>
      <family val="3"/>
      <charset val="128"/>
    </font>
    <font>
      <sz val="10"/>
      <color theme="1"/>
      <name val="HGPｺﾞｼｯｸM"/>
      <family val="3"/>
      <charset val="128"/>
    </font>
    <font>
      <b/>
      <sz val="12"/>
      <name val="HGPｺﾞｼｯｸM"/>
      <family val="3"/>
      <charset val="128"/>
    </font>
    <font>
      <sz val="6"/>
      <name val="ＭＳ Ｐゴシック"/>
      <family val="2"/>
      <charset val="128"/>
      <scheme val="minor"/>
    </font>
    <font>
      <b/>
      <sz val="12"/>
      <color theme="1"/>
      <name val="HGPｺﾞｼｯｸM"/>
      <family val="3"/>
      <charset val="128"/>
    </font>
    <font>
      <b/>
      <u/>
      <sz val="12"/>
      <name val="HGPｺﾞｼｯｸM"/>
      <family val="3"/>
      <charset val="128"/>
    </font>
    <font>
      <u/>
      <sz val="10"/>
      <name val="HGPｺﾞｼｯｸM"/>
      <family val="3"/>
      <charset val="128"/>
    </font>
    <font>
      <b/>
      <sz val="10"/>
      <color rgb="FFFF0000"/>
      <name val="HGPｺﾞｼｯｸM"/>
      <family val="3"/>
      <charset val="128"/>
    </font>
    <font>
      <b/>
      <sz val="10"/>
      <name val="HGPｺﾞｼｯｸM"/>
      <family val="3"/>
      <charset val="128"/>
    </font>
    <font>
      <sz val="9"/>
      <color theme="1"/>
      <name val="HGPｺﾞｼｯｸM"/>
      <family val="3"/>
      <charset val="128"/>
    </font>
    <font>
      <b/>
      <sz val="10"/>
      <color theme="1"/>
      <name val="HGPｺﾞｼｯｸM"/>
      <family val="3"/>
      <charset val="128"/>
    </font>
    <font>
      <sz val="10"/>
      <color theme="0"/>
      <name val="HGPｺﾞｼｯｸM"/>
      <family val="3"/>
      <charset val="128"/>
    </font>
    <font>
      <sz val="9"/>
      <color theme="0"/>
      <name val="HGPｺﾞｼｯｸM"/>
      <family val="3"/>
      <charset val="128"/>
    </font>
    <font>
      <b/>
      <sz val="12"/>
      <color rgb="FFFF0000"/>
      <name val="HGPｺﾞｼｯｸM"/>
      <family val="3"/>
      <charset val="128"/>
    </font>
    <font>
      <b/>
      <sz val="9"/>
      <color indexed="81"/>
      <name val="MS P ゴシック"/>
      <family val="3"/>
      <charset val="128"/>
    </font>
    <font>
      <sz val="9"/>
      <color indexed="81"/>
      <name val="MS P ゴシック"/>
      <family val="3"/>
      <charset val="128"/>
    </font>
    <font>
      <b/>
      <u/>
      <sz val="14"/>
      <color rgb="FFFF0000"/>
      <name val="HGSｺﾞｼｯｸM"/>
      <family val="3"/>
      <charset val="128"/>
    </font>
    <font>
      <b/>
      <sz val="14"/>
      <color theme="1"/>
      <name val="HGSｺﾞｼｯｸM"/>
      <family val="3"/>
      <charset val="128"/>
    </font>
    <font>
      <sz val="8"/>
      <color theme="1"/>
      <name val="HGSｺﾞｼｯｸM"/>
      <family val="3"/>
      <charset val="128"/>
    </font>
    <font>
      <sz val="9"/>
      <color theme="1"/>
      <name val="HGSｺﾞｼｯｸM"/>
      <family val="3"/>
      <charset val="128"/>
    </font>
    <font>
      <u/>
      <sz val="11"/>
      <color theme="10"/>
      <name val="ＭＳ Ｐゴシック"/>
      <family val="3"/>
      <charset val="128"/>
    </font>
    <font>
      <sz val="11"/>
      <color rgb="FFFF0000"/>
      <name val="HGSｺﾞｼｯｸM"/>
      <family val="3"/>
      <charset val="128"/>
    </font>
    <font>
      <u/>
      <sz val="11"/>
      <color rgb="FFFF0000"/>
      <name val="HGSｺﾞｼｯｸM"/>
      <family val="3"/>
      <charset val="128"/>
    </font>
    <font>
      <sz val="11"/>
      <color theme="1"/>
      <name val="HGSｺﾞｼｯｸM"/>
      <family val="3"/>
      <charset val="128"/>
    </font>
    <font>
      <sz val="11"/>
      <color theme="1"/>
      <name val="ＭＳ ゴシック"/>
      <family val="3"/>
      <charset val="128"/>
    </font>
    <font>
      <sz val="11"/>
      <color theme="1"/>
      <name val="ＭＳ Ｐゴシック"/>
      <family val="3"/>
      <charset val="128"/>
    </font>
    <font>
      <strike/>
      <sz val="11"/>
      <color theme="1"/>
      <name val="HGSｺﾞｼｯｸM"/>
      <family val="3"/>
      <charset val="128"/>
    </font>
    <font>
      <u/>
      <sz val="11"/>
      <color indexed="36"/>
      <name val="ＭＳ Ｐゴシック"/>
      <family val="3"/>
      <charset val="128"/>
    </font>
    <font>
      <strike/>
      <sz val="11"/>
      <color theme="1"/>
      <name val="ＭＳ Ｐゴシック"/>
      <family val="3"/>
      <charset val="128"/>
    </font>
    <font>
      <sz val="11"/>
      <color rgb="FFFF0000"/>
      <name val="ＭＳ Ｐゴシック"/>
      <family val="3"/>
      <charset val="128"/>
    </font>
    <font>
      <sz val="16"/>
      <color theme="1"/>
      <name val="HGSｺﾞｼｯｸM"/>
      <family val="3"/>
      <charset val="128"/>
    </font>
    <font>
      <sz val="14"/>
      <color theme="1"/>
      <name val="HGSｺﾞｼｯｸM"/>
      <family val="3"/>
      <charset val="128"/>
    </font>
    <font>
      <strike/>
      <sz val="11"/>
      <color theme="1"/>
      <name val="游ゴシック Light"/>
      <family val="3"/>
      <charset val="128"/>
    </font>
    <font>
      <sz val="11"/>
      <color theme="1"/>
      <name val="HGｺﾞｼｯｸM"/>
      <family val="3"/>
      <charset val="128"/>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9" tint="0.39997558519241921"/>
        <bgColor indexed="64"/>
      </patternFill>
    </fill>
    <fill>
      <patternFill patternType="solid">
        <fgColor rgb="FF0000FF"/>
        <bgColor indexed="64"/>
      </patternFill>
    </fill>
    <fill>
      <patternFill patternType="solid">
        <fgColor rgb="FFCCFFFF"/>
        <bgColor indexed="64"/>
      </patternFill>
    </fill>
    <fill>
      <patternFill patternType="solid">
        <fgColor rgb="FFFFFF00"/>
        <bgColor indexed="64"/>
      </patternFill>
    </fill>
    <fill>
      <patternFill patternType="solid">
        <fgColor rgb="FFFFFFCC"/>
        <bgColor indexed="64"/>
      </patternFill>
    </fill>
    <fill>
      <patternFill patternType="solid">
        <fgColor rgb="FFFFFF66"/>
        <bgColor indexed="64"/>
      </patternFill>
    </fill>
    <fill>
      <patternFill patternType="solid">
        <fgColor rgb="FFCCECFF"/>
        <bgColor indexed="64"/>
      </patternFill>
    </fill>
    <fill>
      <patternFill patternType="solid">
        <fgColor theme="8" tint="0.39997558519241921"/>
        <bgColor indexed="64"/>
      </patternFill>
    </fill>
    <fill>
      <patternFill patternType="solid">
        <fgColor theme="0" tint="-0.14999847407452621"/>
        <bgColor indexed="64"/>
      </patternFill>
    </fill>
  </fills>
  <borders count="17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style="thin">
        <color indexed="64"/>
      </right>
      <top/>
      <bottom/>
      <diagonal/>
    </border>
    <border>
      <left style="thin">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bottom/>
      <diagonal/>
    </border>
    <border>
      <left style="hair">
        <color indexed="64"/>
      </left>
      <right/>
      <top/>
      <bottom style="thin">
        <color indexed="64"/>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hair">
        <color indexed="64"/>
      </bottom>
      <diagonal/>
    </border>
    <border>
      <left style="double">
        <color indexed="64"/>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style="thin">
        <color indexed="64"/>
      </right>
      <top style="dashed">
        <color indexed="64"/>
      </top>
      <bottom/>
      <diagonal/>
    </border>
    <border>
      <left/>
      <right style="thin">
        <color indexed="64"/>
      </right>
      <top/>
      <bottom style="dashed">
        <color indexed="64"/>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ashed">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rgb="FFFF0000"/>
      </left>
      <right/>
      <top style="thin">
        <color indexed="64"/>
      </top>
      <bottom style="thin">
        <color indexed="64"/>
      </bottom>
      <diagonal/>
    </border>
    <border>
      <left/>
      <right style="double">
        <color rgb="FFFF0000"/>
      </right>
      <top style="thin">
        <color indexed="64"/>
      </top>
      <bottom style="thin">
        <color indexed="64"/>
      </bottom>
      <diagonal/>
    </border>
    <border>
      <left style="double">
        <color rgb="FFFF0000"/>
      </left>
      <right style="thin">
        <color indexed="64"/>
      </right>
      <top style="thin">
        <color indexed="64"/>
      </top>
      <bottom style="hair">
        <color indexed="64"/>
      </bottom>
      <diagonal/>
    </border>
    <border>
      <left style="thin">
        <color indexed="64"/>
      </left>
      <right style="double">
        <color rgb="FFFF0000"/>
      </right>
      <top style="thin">
        <color indexed="64"/>
      </top>
      <bottom style="hair">
        <color indexed="64"/>
      </bottom>
      <diagonal/>
    </border>
    <border>
      <left style="double">
        <color rgb="FFFF0000"/>
      </left>
      <right style="thin">
        <color indexed="64"/>
      </right>
      <top/>
      <bottom style="thin">
        <color indexed="64"/>
      </bottom>
      <diagonal/>
    </border>
    <border>
      <left/>
      <right style="double">
        <color rgb="FFFF0000"/>
      </right>
      <top/>
      <bottom style="thin">
        <color indexed="64"/>
      </bottom>
      <diagonal/>
    </border>
    <border>
      <left style="double">
        <color rgb="FFFF0000"/>
      </left>
      <right style="thin">
        <color indexed="64"/>
      </right>
      <top style="hair">
        <color indexed="64"/>
      </top>
      <bottom style="thin">
        <color indexed="64"/>
      </bottom>
      <diagonal/>
    </border>
    <border>
      <left style="thin">
        <color indexed="64"/>
      </left>
      <right style="double">
        <color rgb="FFFF0000"/>
      </right>
      <top style="hair">
        <color indexed="64"/>
      </top>
      <bottom style="thin">
        <color indexed="64"/>
      </bottom>
      <diagonal/>
    </border>
    <border>
      <left/>
      <right/>
      <top/>
      <bottom style="double">
        <color rgb="FFFF0000"/>
      </bottom>
      <diagonal/>
    </border>
    <border>
      <left/>
      <right style="thin">
        <color indexed="64"/>
      </right>
      <top/>
      <bottom style="double">
        <color rgb="FFFF0000"/>
      </bottom>
      <diagonal/>
    </border>
    <border>
      <left style="double">
        <color rgb="FFFF0000"/>
      </left>
      <right style="thin">
        <color indexed="64"/>
      </right>
      <top style="thin">
        <color indexed="64"/>
      </top>
      <bottom style="thin">
        <color indexed="64"/>
      </bottom>
      <diagonal/>
    </border>
    <border>
      <left style="thin">
        <color indexed="64"/>
      </left>
      <right style="double">
        <color rgb="FFFF0000"/>
      </right>
      <top style="thin">
        <color indexed="64"/>
      </top>
      <bottom style="thin">
        <color indexed="64"/>
      </bottom>
      <diagonal/>
    </border>
    <border>
      <left style="double">
        <color rgb="FFFF0000"/>
      </left>
      <right style="thin">
        <color indexed="64"/>
      </right>
      <top style="thin">
        <color indexed="64"/>
      </top>
      <bottom/>
      <diagonal/>
    </border>
    <border>
      <left style="thin">
        <color indexed="64"/>
      </left>
      <right style="double">
        <color rgb="FFFF0000"/>
      </right>
      <top style="thin">
        <color indexed="64"/>
      </top>
      <bottom/>
      <diagonal/>
    </border>
    <border>
      <left/>
      <right/>
      <top/>
      <bottom style="medium">
        <color indexed="64"/>
      </bottom>
      <diagonal/>
    </border>
    <border>
      <left style="double">
        <color rgb="FFFF0000"/>
      </left>
      <right style="thin">
        <color indexed="64"/>
      </right>
      <top style="hair">
        <color indexed="64"/>
      </top>
      <bottom style="hair">
        <color indexed="64"/>
      </bottom>
      <diagonal/>
    </border>
    <border>
      <left style="thin">
        <color indexed="64"/>
      </left>
      <right style="double">
        <color rgb="FFFF0000"/>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style="thin">
        <color indexed="64"/>
      </right>
      <top/>
      <bottom style="dashed">
        <color indexed="64"/>
      </bottom>
      <diagonal/>
    </border>
    <border>
      <left/>
      <right style="thin">
        <color indexed="64"/>
      </right>
      <top style="hair">
        <color indexed="64"/>
      </top>
      <bottom style="dashed">
        <color indexed="64"/>
      </bottom>
      <diagonal/>
    </border>
    <border>
      <left/>
      <right/>
      <top style="dotted">
        <color indexed="64"/>
      </top>
      <bottom style="dashed">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left style="thin">
        <color indexed="64"/>
      </left>
      <right style="dashed">
        <color indexed="64"/>
      </right>
      <top style="dashed">
        <color indexed="64"/>
      </top>
      <bottom style="dash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s>
  <cellStyleXfs count="10">
    <xf numFmtId="0" fontId="0" fillId="0" borderId="0"/>
    <xf numFmtId="9" fontId="29" fillId="0" borderId="0" applyFont="0" applyFill="0" applyBorder="0" applyAlignment="0" applyProtection="0">
      <alignment vertical="center"/>
    </xf>
    <xf numFmtId="38" fontId="2" fillId="0" borderId="0" applyFont="0" applyFill="0" applyBorder="0" applyAlignment="0" applyProtection="0"/>
    <xf numFmtId="38" fontId="29" fillId="0" borderId="0" applyFont="0" applyFill="0" applyBorder="0" applyAlignment="0" applyProtection="0">
      <alignment vertical="center"/>
    </xf>
    <xf numFmtId="0" fontId="29" fillId="0" borderId="0">
      <alignment vertical="center"/>
    </xf>
    <xf numFmtId="0" fontId="7" fillId="0" borderId="0">
      <alignment vertical="center"/>
    </xf>
    <xf numFmtId="0" fontId="2" fillId="0" borderId="0"/>
    <xf numFmtId="38" fontId="2" fillId="0" borderId="0" applyFont="0" applyFill="0" applyBorder="0" applyAlignment="0" applyProtection="0">
      <alignment vertical="center"/>
    </xf>
    <xf numFmtId="0" fontId="1" fillId="0" borderId="0">
      <alignment vertical="center"/>
    </xf>
    <xf numFmtId="0" fontId="79" fillId="0" borderId="0" applyNumberFormat="0" applyFill="0" applyBorder="0" applyAlignment="0" applyProtection="0"/>
  </cellStyleXfs>
  <cellXfs count="2071">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5" fillId="3" borderId="0" xfId="0" applyFont="1" applyFill="1" applyAlignment="1">
      <alignment vertical="center"/>
    </xf>
    <xf numFmtId="0" fontId="5" fillId="3" borderId="0" xfId="0" applyFont="1" applyFill="1" applyAlignment="1">
      <alignment horizontal="center" vertical="center"/>
    </xf>
    <xf numFmtId="0" fontId="5" fillId="3" borderId="0" xfId="0" applyFont="1" applyFill="1" applyAlignment="1">
      <alignment vertical="center" shrinkToFit="1"/>
    </xf>
    <xf numFmtId="0" fontId="31" fillId="3" borderId="0" xfId="0" applyFont="1" applyFill="1" applyAlignment="1">
      <alignment vertical="center"/>
    </xf>
    <xf numFmtId="0" fontId="5" fillId="3" borderId="0" xfId="0" applyFont="1" applyFill="1" applyAlignment="1">
      <alignment vertical="top"/>
    </xf>
    <xf numFmtId="0" fontId="31" fillId="3" borderId="0" xfId="0" applyFont="1" applyFill="1" applyAlignment="1">
      <alignment vertical="top"/>
    </xf>
    <xf numFmtId="0" fontId="5" fillId="3" borderId="0" xfId="0" applyFont="1" applyFill="1" applyAlignment="1">
      <alignment horizontal="left" vertical="top"/>
    </xf>
    <xf numFmtId="0" fontId="32" fillId="3" borderId="0" xfId="0" applyFont="1" applyFill="1" applyAlignment="1">
      <alignment horizontal="left" vertical="top"/>
    </xf>
    <xf numFmtId="0" fontId="5" fillId="3" borderId="0" xfId="0" applyFont="1" applyFill="1" applyAlignment="1">
      <alignment horizontal="center" vertical="center" shrinkToFit="1"/>
    </xf>
    <xf numFmtId="0" fontId="5" fillId="3" borderId="0" xfId="0" applyFont="1" applyFill="1" applyAlignment="1">
      <alignment horizontal="left" vertical="center"/>
    </xf>
    <xf numFmtId="0" fontId="31" fillId="3" borderId="0" xfId="0" applyFont="1" applyFill="1" applyAlignment="1">
      <alignment vertical="top" shrinkToFit="1"/>
    </xf>
    <xf numFmtId="0" fontId="5" fillId="3" borderId="0" xfId="0" applyFont="1" applyFill="1" applyAlignment="1">
      <alignment vertical="center" wrapText="1"/>
    </xf>
    <xf numFmtId="0" fontId="15" fillId="3" borderId="0" xfId="0" applyFont="1" applyFill="1" applyAlignment="1">
      <alignment vertical="center"/>
    </xf>
    <xf numFmtId="0" fontId="34" fillId="3" borderId="5" xfId="0" applyFont="1" applyFill="1" applyBorder="1" applyAlignment="1">
      <alignment vertical="center"/>
    </xf>
    <xf numFmtId="0" fontId="5" fillId="6" borderId="3" xfId="0" applyFont="1" applyFill="1" applyBorder="1" applyAlignment="1">
      <alignment horizontal="center" vertical="center"/>
    </xf>
    <xf numFmtId="0" fontId="5" fillId="6" borderId="1" xfId="0" applyFont="1" applyFill="1" applyBorder="1" applyAlignment="1">
      <alignment horizontal="right" vertical="center" shrinkToFit="1"/>
    </xf>
    <xf numFmtId="0" fontId="5" fillId="6" borderId="17" xfId="0" applyFont="1" applyFill="1" applyBorder="1" applyAlignment="1">
      <alignment vertical="center"/>
    </xf>
    <xf numFmtId="0" fontId="5" fillId="6" borderId="40" xfId="0" applyFont="1" applyFill="1" applyBorder="1" applyAlignment="1">
      <alignment vertical="center" shrinkToFit="1"/>
    </xf>
    <xf numFmtId="0" fontId="5" fillId="6" borderId="16" xfId="0" applyFont="1" applyFill="1" applyBorder="1" applyAlignment="1">
      <alignment horizontal="center" vertical="center"/>
    </xf>
    <xf numFmtId="0" fontId="5" fillId="6" borderId="15" xfId="0" applyFont="1" applyFill="1" applyBorder="1" applyAlignment="1">
      <alignment vertical="center" shrinkToFit="1"/>
    </xf>
    <xf numFmtId="0" fontId="5" fillId="6" borderId="2" xfId="0" applyFont="1" applyFill="1" applyBorder="1" applyAlignment="1">
      <alignment horizontal="center" vertical="center"/>
    </xf>
    <xf numFmtId="0" fontId="12" fillId="3" borderId="0" xfId="0" applyFont="1" applyFill="1" applyAlignment="1">
      <alignment vertical="top"/>
    </xf>
    <xf numFmtId="0" fontId="35" fillId="3" borderId="0" xfId="0" applyFont="1" applyFill="1" applyAlignment="1">
      <alignment vertical="top"/>
    </xf>
    <xf numFmtId="0" fontId="17" fillId="3" borderId="0" xfId="0" applyFont="1" applyFill="1" applyAlignment="1">
      <alignment vertical="top"/>
    </xf>
    <xf numFmtId="0" fontId="36" fillId="3" borderId="0" xfId="0" applyFont="1" applyFill="1" applyAlignment="1">
      <alignment vertical="top"/>
    </xf>
    <xf numFmtId="0" fontId="13" fillId="3" borderId="0" xfId="0" applyFont="1" applyFill="1" applyAlignment="1">
      <alignment vertical="top"/>
    </xf>
    <xf numFmtId="0" fontId="37" fillId="7" borderId="25" xfId="0" applyFont="1" applyFill="1" applyBorder="1" applyAlignment="1">
      <alignment horizontal="center" vertical="center" shrinkToFit="1"/>
    </xf>
    <xf numFmtId="0" fontId="37" fillId="7" borderId="2" xfId="0" applyFont="1" applyFill="1" applyBorder="1" applyAlignment="1">
      <alignment horizontal="center" vertical="center" shrinkToFit="1"/>
    </xf>
    <xf numFmtId="0" fontId="12" fillId="3" borderId="3" xfId="0" applyFont="1" applyFill="1" applyBorder="1" applyAlignment="1">
      <alignment vertical="center" shrinkToFit="1"/>
    </xf>
    <xf numFmtId="0" fontId="12" fillId="3" borderId="4" xfId="0" applyFont="1" applyFill="1" applyBorder="1" applyAlignment="1">
      <alignment vertical="center" shrinkToFit="1"/>
    </xf>
    <xf numFmtId="0" fontId="12" fillId="3" borderId="25" xfId="0" applyFont="1" applyFill="1" applyBorder="1" applyAlignment="1">
      <alignment vertical="center" shrinkToFit="1"/>
    </xf>
    <xf numFmtId="0" fontId="12" fillId="3" borderId="16" xfId="0" applyFont="1" applyFill="1" applyBorder="1" applyAlignment="1">
      <alignment vertical="center" shrinkToFit="1"/>
    </xf>
    <xf numFmtId="0" fontId="12" fillId="3" borderId="5" xfId="0" applyFont="1" applyFill="1" applyBorder="1" applyAlignment="1">
      <alignment vertical="center" shrinkToFit="1"/>
    </xf>
    <xf numFmtId="0" fontId="12" fillId="3" borderId="30" xfId="0" applyFont="1" applyFill="1" applyBorder="1" applyAlignment="1">
      <alignment horizontal="center" vertical="center" shrinkToFit="1"/>
    </xf>
    <xf numFmtId="0" fontId="12" fillId="3" borderId="30" xfId="0" applyFont="1" applyFill="1" applyBorder="1" applyAlignment="1">
      <alignment vertical="center" shrinkToFit="1"/>
    </xf>
    <xf numFmtId="0" fontId="12" fillId="3" borderId="17" xfId="0" applyFont="1" applyFill="1" applyBorder="1" applyAlignment="1">
      <alignment vertical="center" shrinkToFit="1"/>
    </xf>
    <xf numFmtId="0" fontId="12" fillId="3" borderId="36" xfId="0" applyFont="1" applyFill="1" applyBorder="1" applyAlignment="1">
      <alignment vertical="center" shrinkToFit="1"/>
    </xf>
    <xf numFmtId="0" fontId="12" fillId="3" borderId="42" xfId="0" applyFont="1" applyFill="1" applyBorder="1" applyAlignment="1">
      <alignment vertical="center" shrinkToFit="1"/>
    </xf>
    <xf numFmtId="0" fontId="12" fillId="3" borderId="36" xfId="0" applyFont="1" applyFill="1" applyBorder="1" applyAlignment="1">
      <alignment horizontal="center" vertical="center" shrinkToFit="1"/>
    </xf>
    <xf numFmtId="0" fontId="12" fillId="5" borderId="30" xfId="0" applyFont="1" applyFill="1" applyBorder="1" applyAlignment="1">
      <alignment vertical="center" shrinkToFit="1"/>
    </xf>
    <xf numFmtId="0" fontId="12" fillId="5" borderId="3" xfId="0" applyFont="1" applyFill="1" applyBorder="1" applyAlignment="1">
      <alignment vertical="center" shrinkToFit="1"/>
    </xf>
    <xf numFmtId="0" fontId="12" fillId="5" borderId="17" xfId="0" applyFont="1" applyFill="1" applyBorder="1" applyAlignment="1">
      <alignment vertical="center" shrinkToFit="1"/>
    </xf>
    <xf numFmtId="0" fontId="12" fillId="5" borderId="0" xfId="0" applyFont="1" applyFill="1" applyAlignment="1">
      <alignment horizontal="center" vertical="center" shrinkToFit="1"/>
    </xf>
    <xf numFmtId="0" fontId="12" fillId="5" borderId="16" xfId="0" applyFont="1" applyFill="1" applyBorder="1" applyAlignment="1">
      <alignment vertical="center" shrinkToFit="1"/>
    </xf>
    <xf numFmtId="0" fontId="12" fillId="5" borderId="36" xfId="0" applyFont="1" applyFill="1" applyBorder="1" applyAlignment="1">
      <alignment vertical="center" shrinkToFit="1"/>
    </xf>
    <xf numFmtId="0" fontId="21" fillId="3" borderId="0" xfId="0" applyFont="1" applyFill="1" applyAlignment="1">
      <alignment vertical="center"/>
    </xf>
    <xf numFmtId="0" fontId="22" fillId="3" borderId="0" xfId="0" applyFont="1" applyFill="1" applyAlignment="1">
      <alignment horizontal="center" vertical="center"/>
    </xf>
    <xf numFmtId="0" fontId="21" fillId="3" borderId="6" xfId="0" applyFont="1" applyFill="1" applyBorder="1" applyAlignment="1">
      <alignment horizontal="center" vertical="center"/>
    </xf>
    <xf numFmtId="0" fontId="21" fillId="3" borderId="8" xfId="0" applyFont="1" applyFill="1" applyBorder="1" applyAlignment="1">
      <alignment vertical="center"/>
    </xf>
    <xf numFmtId="0" fontId="21" fillId="4" borderId="7" xfId="0" applyFont="1" applyFill="1" applyBorder="1" applyAlignment="1">
      <alignment horizontal="left" vertical="center" shrinkToFit="1"/>
    </xf>
    <xf numFmtId="0" fontId="21" fillId="3" borderId="7" xfId="0" applyFont="1" applyFill="1" applyBorder="1" applyAlignment="1">
      <alignment horizontal="left" vertical="center"/>
    </xf>
    <xf numFmtId="0" fontId="21" fillId="5" borderId="7" xfId="0" applyFont="1" applyFill="1" applyBorder="1" applyAlignment="1">
      <alignment horizontal="center" vertical="center"/>
    </xf>
    <xf numFmtId="0" fontId="21" fillId="3" borderId="2" xfId="0" applyFont="1" applyFill="1" applyBorder="1" applyAlignment="1">
      <alignment horizontal="center" vertical="center"/>
    </xf>
    <xf numFmtId="0" fontId="21" fillId="3" borderId="3" xfId="0" applyFont="1" applyFill="1" applyBorder="1" applyAlignment="1">
      <alignment horizontal="center" vertical="center"/>
    </xf>
    <xf numFmtId="0" fontId="21" fillId="4" borderId="4" xfId="0" applyFont="1" applyFill="1" applyBorder="1" applyAlignment="1">
      <alignment vertical="center" shrinkToFit="1"/>
    </xf>
    <xf numFmtId="0" fontId="21" fillId="3" borderId="1" xfId="0" applyFont="1" applyFill="1" applyBorder="1" applyAlignment="1">
      <alignment vertical="center"/>
    </xf>
    <xf numFmtId="0" fontId="21" fillId="3" borderId="44" xfId="0" applyFont="1" applyFill="1" applyBorder="1" applyAlignment="1">
      <alignment horizontal="center" vertical="center"/>
    </xf>
    <xf numFmtId="0" fontId="21" fillId="8" borderId="45" xfId="0" applyFont="1" applyFill="1" applyBorder="1" applyAlignment="1">
      <alignment vertical="center" shrinkToFit="1"/>
    </xf>
    <xf numFmtId="0" fontId="21" fillId="3" borderId="46" xfId="0" applyFont="1" applyFill="1" applyBorder="1" applyAlignment="1">
      <alignment vertical="center"/>
    </xf>
    <xf numFmtId="0" fontId="21" fillId="8" borderId="7" xfId="0" applyFont="1" applyFill="1" applyBorder="1" applyAlignment="1">
      <alignment vertical="center" shrinkToFit="1"/>
    </xf>
    <xf numFmtId="0" fontId="21" fillId="3" borderId="7" xfId="0" applyFont="1" applyFill="1" applyBorder="1" applyAlignment="1">
      <alignment horizontal="center" vertical="center"/>
    </xf>
    <xf numFmtId="0" fontId="21" fillId="3" borderId="8" xfId="0" applyFont="1" applyFill="1" applyBorder="1" applyAlignment="1">
      <alignment horizontal="left" vertical="center"/>
    </xf>
    <xf numFmtId="0" fontId="21" fillId="3" borderId="3" xfId="0" applyFont="1" applyFill="1" applyBorder="1" applyAlignment="1">
      <alignment vertical="center"/>
    </xf>
    <xf numFmtId="0" fontId="21" fillId="3" borderId="4" xfId="0" applyFont="1" applyFill="1" applyBorder="1" applyAlignment="1">
      <alignment vertical="center"/>
    </xf>
    <xf numFmtId="2" fontId="21" fillId="3" borderId="1" xfId="0" applyNumberFormat="1" applyFont="1" applyFill="1" applyBorder="1" applyAlignment="1">
      <alignment horizontal="left" vertical="center"/>
    </xf>
    <xf numFmtId="0" fontId="21" fillId="3" borderId="17" xfId="0" applyFont="1" applyFill="1" applyBorder="1" applyAlignment="1">
      <alignment vertical="center"/>
    </xf>
    <xf numFmtId="0" fontId="21" fillId="3" borderId="40" xfId="0" applyFont="1" applyFill="1" applyBorder="1" applyAlignment="1">
      <alignment vertical="center"/>
    </xf>
    <xf numFmtId="0" fontId="21" fillId="3" borderId="16" xfId="0" applyFont="1" applyFill="1" applyBorder="1" applyAlignment="1">
      <alignment vertical="center"/>
    </xf>
    <xf numFmtId="0" fontId="21" fillId="3" borderId="5" xfId="0" applyFont="1" applyFill="1" applyBorder="1" applyAlignment="1">
      <alignment vertical="center"/>
    </xf>
    <xf numFmtId="0" fontId="21" fillId="3" borderId="15" xfId="0" applyFont="1" applyFill="1" applyBorder="1" applyAlignment="1">
      <alignment vertical="center"/>
    </xf>
    <xf numFmtId="0" fontId="23" fillId="3" borderId="16" xfId="0" applyFont="1" applyFill="1" applyBorder="1" applyAlignment="1">
      <alignment vertical="top" wrapText="1"/>
    </xf>
    <xf numFmtId="0" fontId="23" fillId="3" borderId="5" xfId="0" applyFont="1" applyFill="1" applyBorder="1" applyAlignment="1">
      <alignment vertical="top" wrapText="1"/>
    </xf>
    <xf numFmtId="0" fontId="23" fillId="3" borderId="15" xfId="0" applyFont="1" applyFill="1" applyBorder="1" applyAlignment="1">
      <alignment vertical="top" wrapText="1"/>
    </xf>
    <xf numFmtId="0" fontId="23" fillId="3" borderId="17" xfId="0" applyFont="1" applyFill="1" applyBorder="1" applyAlignment="1">
      <alignment vertical="top" wrapText="1"/>
    </xf>
    <xf numFmtId="0" fontId="23" fillId="3" borderId="0" xfId="0" applyFont="1" applyFill="1" applyAlignment="1">
      <alignment vertical="top" wrapText="1"/>
    </xf>
    <xf numFmtId="0" fontId="23" fillId="3" borderId="40" xfId="0" applyFont="1" applyFill="1" applyBorder="1" applyAlignment="1">
      <alignment vertical="top" wrapText="1"/>
    </xf>
    <xf numFmtId="0" fontId="23" fillId="3" borderId="40" xfId="0" applyFont="1" applyFill="1" applyBorder="1" applyAlignment="1">
      <alignment horizontal="left" vertical="top" wrapText="1"/>
    </xf>
    <xf numFmtId="0" fontId="21" fillId="3" borderId="1" xfId="0" applyFont="1" applyFill="1" applyBorder="1" applyAlignment="1">
      <alignment horizontal="right" vertical="center"/>
    </xf>
    <xf numFmtId="0" fontId="21" fillId="3" borderId="40" xfId="0" applyFont="1" applyFill="1" applyBorder="1" applyAlignment="1">
      <alignment horizontal="right" vertical="center"/>
    </xf>
    <xf numFmtId="0" fontId="21" fillId="3" borderId="16" xfId="0" applyFont="1" applyFill="1" applyBorder="1" applyAlignment="1">
      <alignment horizontal="right" vertical="center"/>
    </xf>
    <xf numFmtId="0" fontId="21" fillId="4" borderId="5" xfId="0" applyFont="1" applyFill="1" applyBorder="1" applyAlignment="1">
      <alignment horizontal="center" vertical="center"/>
    </xf>
    <xf numFmtId="0" fontId="21" fillId="4" borderId="7" xfId="0" applyFont="1" applyFill="1" applyBorder="1" applyAlignment="1">
      <alignment vertical="center" shrinkToFit="1"/>
    </xf>
    <xf numFmtId="0" fontId="16" fillId="3" borderId="5" xfId="5" applyFont="1" applyFill="1" applyBorder="1" applyAlignment="1">
      <alignment horizontal="left" vertical="center"/>
    </xf>
    <xf numFmtId="0" fontId="14" fillId="3" borderId="0" xfId="2" applyNumberFormat="1" applyFont="1" applyFill="1" applyBorder="1" applyAlignment="1">
      <alignment horizontal="center" vertical="center"/>
    </xf>
    <xf numFmtId="0" fontId="14" fillId="3" borderId="0" xfId="5" applyFont="1" applyFill="1">
      <alignment vertical="center"/>
    </xf>
    <xf numFmtId="0" fontId="14" fillId="3" borderId="0" xfId="5" applyFont="1" applyFill="1" applyAlignment="1">
      <alignment horizontal="center" vertical="center"/>
    </xf>
    <xf numFmtId="0" fontId="14" fillId="3" borderId="0" xfId="2" applyNumberFormat="1" applyFont="1" applyFill="1" applyBorder="1" applyAlignment="1">
      <alignment horizontal="left" vertical="center"/>
    </xf>
    <xf numFmtId="0" fontId="14" fillId="3" borderId="0" xfId="2" applyNumberFormat="1" applyFont="1" applyFill="1" applyAlignment="1">
      <alignment vertical="center"/>
    </xf>
    <xf numFmtId="0" fontId="14" fillId="3" borderId="0" xfId="5" applyFont="1" applyFill="1" applyAlignment="1">
      <alignment horizontal="right" vertical="center"/>
    </xf>
    <xf numFmtId="0" fontId="14" fillId="3" borderId="0" xfId="0" applyFont="1" applyFill="1" applyAlignment="1">
      <alignment vertical="center"/>
    </xf>
    <xf numFmtId="0" fontId="14" fillId="3" borderId="0" xfId="2" applyNumberFormat="1" applyFont="1" applyFill="1" applyBorder="1" applyAlignment="1">
      <alignment vertical="center"/>
    </xf>
    <xf numFmtId="0" fontId="14" fillId="3" borderId="0" xfId="0" applyFont="1" applyFill="1" applyAlignment="1">
      <alignment horizontal="center" vertical="center"/>
    </xf>
    <xf numFmtId="0" fontId="14" fillId="3" borderId="0" xfId="2" applyNumberFormat="1" applyFont="1" applyFill="1" applyAlignment="1">
      <alignment horizontal="center" vertical="center"/>
    </xf>
    <xf numFmtId="0" fontId="14" fillId="3" borderId="0" xfId="0" applyFont="1" applyFill="1" applyAlignment="1">
      <alignment vertical="center" wrapText="1"/>
    </xf>
    <xf numFmtId="0" fontId="14" fillId="3" borderId="7" xfId="5" applyFont="1" applyFill="1" applyBorder="1" applyAlignment="1">
      <alignment horizontal="center" vertical="center" shrinkToFit="1"/>
    </xf>
    <xf numFmtId="0" fontId="14" fillId="3" borderId="5" xfId="5" applyFont="1" applyFill="1" applyBorder="1" applyAlignment="1">
      <alignment horizontal="left" vertical="center" shrinkToFit="1"/>
    </xf>
    <xf numFmtId="0" fontId="14" fillId="3" borderId="15" xfId="5" applyFont="1" applyFill="1" applyBorder="1" applyAlignment="1">
      <alignment horizontal="left" vertical="center" shrinkToFit="1"/>
    </xf>
    <xf numFmtId="0" fontId="14" fillId="3" borderId="0" xfId="5" applyFont="1" applyFill="1" applyAlignment="1">
      <alignment horizontal="distributed" vertical="center"/>
    </xf>
    <xf numFmtId="0" fontId="14" fillId="3" borderId="0" xfId="5" applyFont="1" applyFill="1" applyAlignment="1">
      <alignment horizontal="left" vertical="center" shrinkToFit="1"/>
    </xf>
    <xf numFmtId="0" fontId="14" fillId="3" borderId="5" xfId="5" applyFont="1" applyFill="1" applyBorder="1" applyAlignment="1">
      <alignment horizontal="distributed" vertical="center"/>
    </xf>
    <xf numFmtId="0" fontId="14" fillId="3" borderId="0" xfId="5" applyFont="1" applyFill="1" applyAlignment="1">
      <alignment horizontal="left" vertical="center"/>
    </xf>
    <xf numFmtId="0" fontId="14" fillId="3" borderId="17" xfId="5" applyFont="1" applyFill="1" applyBorder="1" applyAlignment="1">
      <alignment horizontal="center" vertical="center"/>
    </xf>
    <xf numFmtId="0" fontId="14" fillId="3" borderId="40" xfId="0" applyFont="1" applyFill="1" applyBorder="1" applyAlignment="1">
      <alignment vertical="center"/>
    </xf>
    <xf numFmtId="0" fontId="14" fillId="3" borderId="0" xfId="0" applyFont="1" applyFill="1" applyAlignment="1">
      <alignment horizontal="left" vertical="center" wrapText="1"/>
    </xf>
    <xf numFmtId="0" fontId="14" fillId="5" borderId="0" xfId="0" applyFont="1" applyFill="1" applyAlignment="1">
      <alignment horizontal="center" vertical="center"/>
    </xf>
    <xf numFmtId="0" fontId="14" fillId="3" borderId="5" xfId="5" applyFont="1" applyFill="1" applyBorder="1" applyAlignment="1">
      <alignment horizontal="center" vertical="center" shrinkToFit="1"/>
    </xf>
    <xf numFmtId="0" fontId="14" fillId="3" borderId="46" xfId="0" applyFont="1" applyFill="1" applyBorder="1" applyAlignment="1">
      <alignment horizontal="right" vertical="center"/>
    </xf>
    <xf numFmtId="0" fontId="23" fillId="3" borderId="17" xfId="0" applyFont="1" applyFill="1" applyBorder="1" applyAlignment="1">
      <alignment vertical="top"/>
    </xf>
    <xf numFmtId="0" fontId="21" fillId="3" borderId="40" xfId="0" applyFont="1" applyFill="1" applyBorder="1" applyAlignment="1">
      <alignment vertical="top" wrapText="1"/>
    </xf>
    <xf numFmtId="0" fontId="21" fillId="3" borderId="37" xfId="0" applyFont="1" applyFill="1" applyBorder="1" applyAlignment="1">
      <alignment vertical="center"/>
    </xf>
    <xf numFmtId="0" fontId="21" fillId="3" borderId="38" xfId="0" applyFont="1" applyFill="1" applyBorder="1" applyAlignment="1">
      <alignment vertical="center"/>
    </xf>
    <xf numFmtId="179" fontId="21" fillId="3" borderId="43" xfId="0" applyNumberFormat="1" applyFont="1" applyFill="1" applyBorder="1" applyAlignment="1">
      <alignment horizontal="right" vertical="center"/>
    </xf>
    <xf numFmtId="179" fontId="21" fillId="3" borderId="37" xfId="0" applyNumberFormat="1" applyFont="1" applyFill="1" applyBorder="1" applyAlignment="1">
      <alignment horizontal="right" vertical="center"/>
    </xf>
    <xf numFmtId="0" fontId="21" fillId="3" borderId="47" xfId="0" applyFont="1" applyFill="1" applyBorder="1" applyAlignment="1">
      <alignment vertical="top" wrapText="1"/>
    </xf>
    <xf numFmtId="0" fontId="21" fillId="3" borderId="47" xfId="0" applyFont="1" applyFill="1" applyBorder="1" applyAlignment="1">
      <alignment vertical="center"/>
    </xf>
    <xf numFmtId="0" fontId="21" fillId="3" borderId="48" xfId="0" applyFont="1" applyFill="1" applyBorder="1" applyAlignment="1">
      <alignment vertical="center"/>
    </xf>
    <xf numFmtId="0" fontId="23" fillId="3" borderId="49" xfId="0" applyFont="1" applyFill="1" applyBorder="1" applyAlignment="1">
      <alignment vertical="center" shrinkToFit="1"/>
    </xf>
    <xf numFmtId="0" fontId="23" fillId="3" borderId="50" xfId="0" applyFont="1" applyFill="1" applyBorder="1" applyAlignment="1">
      <alignment vertical="center" shrinkToFit="1"/>
    </xf>
    <xf numFmtId="0" fontId="5" fillId="3" borderId="51" xfId="0" applyFont="1" applyFill="1" applyBorder="1" applyAlignment="1">
      <alignment horizontal="center" vertical="center" shrinkToFit="1"/>
    </xf>
    <xf numFmtId="0" fontId="5" fillId="6" borderId="33" xfId="0" applyFont="1" applyFill="1" applyBorder="1" applyAlignment="1">
      <alignment vertical="center"/>
    </xf>
    <xf numFmtId="0" fontId="5" fillId="3" borderId="33" xfId="0" applyFont="1" applyFill="1" applyBorder="1" applyAlignment="1">
      <alignment vertical="center" shrinkToFit="1"/>
    </xf>
    <xf numFmtId="0" fontId="5" fillId="3" borderId="34" xfId="0" applyFont="1" applyFill="1" applyBorder="1" applyAlignment="1">
      <alignment horizontal="center" vertical="center" shrinkToFit="1"/>
    </xf>
    <xf numFmtId="0" fontId="5" fillId="3" borderId="33" xfId="0" applyFont="1" applyFill="1" applyBorder="1" applyAlignment="1">
      <alignment horizontal="center" vertical="center" shrinkToFit="1"/>
    </xf>
    <xf numFmtId="0" fontId="5" fillId="3" borderId="33" xfId="0" applyFont="1" applyFill="1" applyBorder="1" applyAlignment="1">
      <alignment vertical="center" wrapText="1"/>
    </xf>
    <xf numFmtId="0" fontId="5" fillId="3" borderId="52" xfId="0" applyFont="1" applyFill="1" applyBorder="1" applyAlignment="1">
      <alignment vertical="center" wrapText="1"/>
    </xf>
    <xf numFmtId="0" fontId="23" fillId="3" borderId="16" xfId="0" applyFont="1" applyFill="1" applyBorder="1" applyAlignment="1">
      <alignment vertical="top"/>
    </xf>
    <xf numFmtId="0" fontId="12" fillId="3" borderId="0" xfId="0" applyFont="1" applyFill="1" applyAlignment="1">
      <alignment vertical="center" shrinkToFit="1"/>
    </xf>
    <xf numFmtId="0" fontId="12" fillId="3" borderId="53" xfId="0" applyFont="1" applyFill="1" applyBorder="1" applyAlignment="1">
      <alignment vertical="center" shrinkToFit="1"/>
    </xf>
    <xf numFmtId="0" fontId="12" fillId="5" borderId="1" xfId="0" applyFont="1" applyFill="1" applyBorder="1" applyAlignment="1">
      <alignment vertical="center" shrinkToFit="1"/>
    </xf>
    <xf numFmtId="0" fontId="12" fillId="5" borderId="40" xfId="0" applyFont="1" applyFill="1" applyBorder="1" applyAlignment="1">
      <alignment vertical="center" shrinkToFit="1"/>
    </xf>
    <xf numFmtId="0" fontId="5" fillId="3" borderId="33" xfId="0" applyFont="1" applyFill="1" applyBorder="1" applyAlignment="1">
      <alignment vertical="center" wrapText="1" shrinkToFit="1"/>
    </xf>
    <xf numFmtId="0" fontId="5" fillId="6" borderId="39" xfId="0" applyFont="1" applyFill="1" applyBorder="1" applyAlignment="1">
      <alignment vertical="center"/>
    </xf>
    <xf numFmtId="0" fontId="5" fillId="3" borderId="39" xfId="0" applyFont="1" applyFill="1" applyBorder="1" applyAlignment="1">
      <alignment vertical="center" shrinkToFit="1"/>
    </xf>
    <xf numFmtId="0" fontId="5" fillId="3" borderId="43" xfId="0" applyFont="1" applyFill="1" applyBorder="1" applyAlignment="1">
      <alignment horizontal="center" vertical="center" shrinkToFit="1"/>
    </xf>
    <xf numFmtId="0" fontId="5" fillId="3" borderId="39" xfId="0" applyFont="1" applyFill="1" applyBorder="1" applyAlignment="1">
      <alignment vertical="center" wrapText="1"/>
    </xf>
    <xf numFmtId="0" fontId="25" fillId="0" borderId="0" xfId="0" applyFont="1" applyAlignment="1">
      <alignment horizontal="left"/>
    </xf>
    <xf numFmtId="0" fontId="25" fillId="0" borderId="0" xfId="0" applyFont="1" applyAlignment="1">
      <alignment horizontal="justify"/>
    </xf>
    <xf numFmtId="0" fontId="25" fillId="0" borderId="0" xfId="0" applyFont="1" applyAlignment="1">
      <alignment vertical="top"/>
    </xf>
    <xf numFmtId="0" fontId="26" fillId="0" borderId="0" xfId="0" applyFont="1" applyAlignment="1">
      <alignment vertical="center"/>
    </xf>
    <xf numFmtId="0" fontId="25" fillId="0" borderId="2" xfId="0" applyFont="1" applyBorder="1" applyAlignment="1">
      <alignment horizontal="justify" vertical="center"/>
    </xf>
    <xf numFmtId="0" fontId="25" fillId="0" borderId="6" xfId="0" applyFont="1" applyBorder="1" applyAlignment="1">
      <alignment horizontal="justify" vertical="center"/>
    </xf>
    <xf numFmtId="0" fontId="25" fillId="0" borderId="2" xfId="0" applyFont="1" applyBorder="1" applyAlignment="1">
      <alignment horizontal="justify" vertical="center" wrapText="1"/>
    </xf>
    <xf numFmtId="0" fontId="25" fillId="0" borderId="6" xfId="0" applyFont="1" applyBorder="1" applyAlignment="1">
      <alignment horizontal="justify" vertical="center" wrapText="1"/>
    </xf>
    <xf numFmtId="0" fontId="25" fillId="0" borderId="54" xfId="0" applyFont="1" applyBorder="1" applyAlignment="1">
      <alignment horizontal="justify" vertical="top" wrapText="1"/>
    </xf>
    <xf numFmtId="0" fontId="25" fillId="0" borderId="2" xfId="0" applyFont="1" applyBorder="1" applyAlignment="1">
      <alignment horizontal="justify" vertical="top" wrapText="1"/>
    </xf>
    <xf numFmtId="0" fontId="25" fillId="0" borderId="6" xfId="0" applyFont="1" applyBorder="1" applyAlignment="1">
      <alignment horizontal="center" vertical="center" wrapText="1"/>
    </xf>
    <xf numFmtId="0" fontId="25"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4" fillId="0" borderId="40" xfId="0" applyFont="1" applyBorder="1"/>
    <xf numFmtId="0" fontId="25" fillId="0" borderId="3" xfId="0" applyFont="1" applyBorder="1" applyAlignment="1">
      <alignment horizontal="justify" vertical="top" wrapText="1"/>
    </xf>
    <xf numFmtId="0" fontId="25" fillId="0" borderId="4" xfId="0" applyFont="1" applyBorder="1" applyAlignment="1">
      <alignment horizontal="justify" vertical="top" wrapText="1"/>
    </xf>
    <xf numFmtId="0" fontId="25" fillId="0" borderId="17" xfId="0" applyFont="1" applyBorder="1" applyAlignment="1">
      <alignment horizontal="left"/>
    </xf>
    <xf numFmtId="0" fontId="25" fillId="0" borderId="40" xfId="0" applyFont="1" applyBorder="1" applyAlignment="1">
      <alignment horizontal="justify" vertical="top" wrapText="1"/>
    </xf>
    <xf numFmtId="0" fontId="25" fillId="0" borderId="0" xfId="0" applyFont="1" applyAlignment="1">
      <alignment horizontal="justify" vertical="top" wrapText="1"/>
    </xf>
    <xf numFmtId="0" fontId="25" fillId="0" borderId="16" xfId="0" applyFont="1" applyBorder="1" applyAlignment="1">
      <alignment horizontal="left"/>
    </xf>
    <xf numFmtId="0" fontId="27" fillId="0" borderId="0" xfId="0" applyFont="1" applyAlignment="1">
      <alignment horizontal="left" vertical="center"/>
    </xf>
    <xf numFmtId="0" fontId="4" fillId="0" borderId="17" xfId="0" applyFont="1" applyBorder="1" applyAlignment="1">
      <alignment horizontal="left" vertical="center"/>
    </xf>
    <xf numFmtId="0" fontId="4" fillId="0" borderId="40" xfId="0" applyFont="1" applyBorder="1" applyAlignment="1">
      <alignment horizontal="left" vertical="center"/>
    </xf>
    <xf numFmtId="0" fontId="4" fillId="0" borderId="17" xfId="0" applyFont="1" applyBorder="1" applyAlignment="1">
      <alignment horizontal="center"/>
    </xf>
    <xf numFmtId="0" fontId="10" fillId="0" borderId="0" xfId="0" applyFont="1" applyAlignment="1">
      <alignment vertical="center"/>
    </xf>
    <xf numFmtId="0" fontId="8" fillId="0" borderId="0" xfId="0" applyFont="1" applyAlignment="1">
      <alignment horizontal="left" vertical="center"/>
    </xf>
    <xf numFmtId="0" fontId="8" fillId="0" borderId="0" xfId="0" applyFont="1" applyAlignment="1">
      <alignment horizontal="right" vertical="center"/>
    </xf>
    <xf numFmtId="0" fontId="8" fillId="0" borderId="7" xfId="0" applyFont="1" applyBorder="1" applyAlignment="1">
      <alignment vertical="center"/>
    </xf>
    <xf numFmtId="0" fontId="8" fillId="0" borderId="8" xfId="0" applyFont="1" applyBorder="1" applyAlignment="1">
      <alignment vertical="center"/>
    </xf>
    <xf numFmtId="0" fontId="8" fillId="0" borderId="0" xfId="0" applyFont="1"/>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40" xfId="0" applyFont="1" applyBorder="1" applyAlignment="1">
      <alignment horizontal="left" vertical="center"/>
    </xf>
    <xf numFmtId="0" fontId="8" fillId="0" borderId="0" xfId="0" applyFont="1" applyAlignment="1">
      <alignment vertical="center"/>
    </xf>
    <xf numFmtId="0" fontId="8" fillId="0" borderId="0" xfId="0" applyFont="1" applyAlignment="1">
      <alignment horizontal="center" vertical="center"/>
    </xf>
    <xf numFmtId="0" fontId="9" fillId="0" borderId="2" xfId="0" applyFont="1" applyBorder="1" applyAlignment="1">
      <alignment horizontal="center" vertical="center"/>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40" xfId="0" applyFont="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horizontal="left" vertical="center" wrapText="1" indent="1"/>
    </xf>
    <xf numFmtId="0" fontId="9" fillId="0" borderId="0" xfId="0" applyFont="1" applyAlignment="1">
      <alignment horizontal="left" vertical="center"/>
    </xf>
    <xf numFmtId="0" fontId="9" fillId="0" borderId="7" xfId="0" applyFont="1" applyBorder="1" applyAlignment="1">
      <alignment vertical="center"/>
    </xf>
    <xf numFmtId="0" fontId="9" fillId="0" borderId="7" xfId="0" applyFont="1" applyBorder="1" applyAlignment="1">
      <alignment vertical="center" wrapText="1"/>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xf>
    <xf numFmtId="0" fontId="8" fillId="0" borderId="0" xfId="0" applyFont="1" applyAlignment="1">
      <alignment horizontal="center"/>
    </xf>
    <xf numFmtId="0" fontId="4" fillId="0" borderId="17" xfId="0" applyFont="1" applyBorder="1" applyAlignment="1">
      <alignment horizontal="center" vertical="center" wrapText="1"/>
    </xf>
    <xf numFmtId="0" fontId="4" fillId="0" borderId="40" xfId="0" applyFont="1" applyBorder="1" applyAlignment="1">
      <alignment horizontal="center" vertical="center" wrapText="1"/>
    </xf>
    <xf numFmtId="0" fontId="5" fillId="0" borderId="0" xfId="0" applyFont="1" applyAlignment="1">
      <alignment horizontal="left" vertical="center" wrapText="1" indent="1"/>
    </xf>
    <xf numFmtId="0" fontId="5" fillId="0" borderId="0" xfId="0" applyFont="1" applyAlignment="1">
      <alignment horizontal="left" vertical="center"/>
    </xf>
    <xf numFmtId="0" fontId="5" fillId="0" borderId="7" xfId="0" applyFont="1" applyBorder="1" applyAlignment="1">
      <alignment vertical="center"/>
    </xf>
    <xf numFmtId="0" fontId="5" fillId="0" borderId="7" xfId="0" applyFont="1" applyBorder="1" applyAlignment="1">
      <alignment vertical="center" wrapText="1"/>
    </xf>
    <xf numFmtId="0" fontId="4" fillId="0" borderId="16" xfId="0" applyFont="1" applyBorder="1" applyAlignment="1">
      <alignment horizontal="left" vertical="center"/>
    </xf>
    <xf numFmtId="0" fontId="5" fillId="0" borderId="5" xfId="0" applyFont="1" applyBorder="1" applyAlignment="1">
      <alignment horizontal="left" vertical="center" wrapText="1"/>
    </xf>
    <xf numFmtId="0" fontId="4" fillId="0" borderId="15" xfId="0" applyFont="1" applyBorder="1" applyAlignment="1">
      <alignment horizontal="left" vertical="center"/>
    </xf>
    <xf numFmtId="0" fontId="5" fillId="0" borderId="15" xfId="0" applyFont="1" applyBorder="1" applyAlignment="1">
      <alignment horizontal="center" vertical="center"/>
    </xf>
    <xf numFmtId="0" fontId="5" fillId="0" borderId="4" xfId="0" applyFont="1" applyBorder="1" applyAlignment="1">
      <alignment horizontal="center" vertical="center"/>
    </xf>
    <xf numFmtId="0" fontId="5" fillId="0" borderId="4" xfId="0" applyFont="1" applyBorder="1" applyAlignment="1">
      <alignment vertical="center"/>
    </xf>
    <xf numFmtId="0" fontId="5" fillId="0" borderId="4" xfId="0" applyFont="1" applyBorder="1" applyAlignment="1">
      <alignment vertical="center" wrapText="1"/>
    </xf>
    <xf numFmtId="0" fontId="5" fillId="0" borderId="4" xfId="0" applyFont="1" applyBorder="1" applyAlignment="1">
      <alignment horizontal="lef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vertical="center"/>
    </xf>
    <xf numFmtId="0" fontId="5" fillId="0" borderId="0" xfId="0" applyFont="1" applyAlignment="1">
      <alignment vertical="center" wrapText="1"/>
    </xf>
    <xf numFmtId="0" fontId="5" fillId="0" borderId="17" xfId="0" applyFont="1" applyBorder="1" applyAlignment="1">
      <alignment vertical="center" wrapText="1"/>
    </xf>
    <xf numFmtId="0" fontId="5" fillId="0" borderId="5" xfId="0" applyFont="1" applyBorder="1" applyAlignment="1">
      <alignment horizontal="left" vertical="center"/>
    </xf>
    <xf numFmtId="0" fontId="5" fillId="0" borderId="5" xfId="0" applyFont="1" applyBorder="1" applyAlignment="1">
      <alignment vertical="center"/>
    </xf>
    <xf numFmtId="0" fontId="5" fillId="0" borderId="5" xfId="0" applyFont="1" applyBorder="1" applyAlignment="1">
      <alignment vertical="center" wrapText="1"/>
    </xf>
    <xf numFmtId="0" fontId="5" fillId="0" borderId="16" xfId="0" applyFont="1" applyBorder="1" applyAlignment="1">
      <alignment horizontal="center" vertical="center"/>
    </xf>
    <xf numFmtId="0" fontId="4" fillId="0" borderId="0" xfId="0" applyFont="1" applyAlignment="1">
      <alignment horizontal="left" vertical="top"/>
    </xf>
    <xf numFmtId="0" fontId="10" fillId="0" borderId="4" xfId="0" applyFont="1" applyBorder="1" applyAlignment="1">
      <alignment vertical="center"/>
    </xf>
    <xf numFmtId="0" fontId="10" fillId="0" borderId="0" xfId="0" applyFont="1" applyAlignment="1">
      <alignment horizontal="left" vertical="center"/>
    </xf>
    <xf numFmtId="0" fontId="4" fillId="0" borderId="5" xfId="0" applyFont="1" applyBorder="1" applyAlignment="1">
      <alignment vertical="center"/>
    </xf>
    <xf numFmtId="0" fontId="10" fillId="0" borderId="0" xfId="0" applyFont="1"/>
    <xf numFmtId="0" fontId="4" fillId="0" borderId="16" xfId="0" applyFont="1" applyBorder="1"/>
    <xf numFmtId="0" fontId="4" fillId="0" borderId="17" xfId="0" applyFont="1" applyBorder="1"/>
    <xf numFmtId="0" fontId="5" fillId="6" borderId="42" xfId="0" applyFont="1" applyFill="1" applyBorder="1" applyAlignment="1">
      <alignment vertical="center"/>
    </xf>
    <xf numFmtId="0" fontId="5" fillId="3" borderId="53" xfId="0" applyFont="1" applyFill="1" applyBorder="1" applyAlignment="1">
      <alignment horizontal="center" vertical="center" shrinkToFit="1"/>
    </xf>
    <xf numFmtId="0" fontId="5" fillId="3" borderId="42" xfId="0" applyFont="1" applyFill="1" applyBorder="1" applyAlignment="1">
      <alignment horizontal="center" vertical="center" shrinkToFit="1"/>
    </xf>
    <xf numFmtId="0" fontId="5" fillId="3" borderId="42" xfId="0" applyFont="1" applyFill="1" applyBorder="1" applyAlignment="1">
      <alignment vertical="center" wrapText="1"/>
    </xf>
    <xf numFmtId="0" fontId="5" fillId="6" borderId="41" xfId="0" applyFont="1" applyFill="1" applyBorder="1" applyAlignment="1">
      <alignment vertical="center"/>
    </xf>
    <xf numFmtId="0" fontId="31" fillId="3" borderId="5" xfId="0" applyFont="1" applyFill="1" applyBorder="1" applyAlignment="1">
      <alignment vertical="top" shrinkToFit="1"/>
    </xf>
    <xf numFmtId="0" fontId="31" fillId="3" borderId="5" xfId="0" applyFont="1" applyFill="1" applyBorder="1" applyAlignment="1">
      <alignment vertical="center"/>
    </xf>
    <xf numFmtId="0" fontId="14" fillId="3" borderId="0" xfId="0" applyFont="1" applyFill="1" applyAlignment="1">
      <alignment vertical="top"/>
    </xf>
    <xf numFmtId="0" fontId="14" fillId="3" borderId="4" xfId="5" applyFont="1" applyFill="1" applyBorder="1">
      <alignment vertical="center"/>
    </xf>
    <xf numFmtId="0" fontId="14" fillId="3" borderId="4" xfId="2" applyNumberFormat="1" applyFont="1" applyFill="1" applyBorder="1" applyAlignment="1">
      <alignment vertical="center"/>
    </xf>
    <xf numFmtId="0" fontId="14" fillId="3" borderId="4" xfId="0" applyFont="1" applyFill="1" applyBorder="1" applyAlignment="1">
      <alignment vertical="center"/>
    </xf>
    <xf numFmtId="0" fontId="14" fillId="3" borderId="4" xfId="2" applyNumberFormat="1" applyFont="1" applyFill="1" applyBorder="1" applyAlignment="1">
      <alignment horizontal="center" vertical="center"/>
    </xf>
    <xf numFmtId="0" fontId="29" fillId="3" borderId="0" xfId="4" applyFill="1">
      <alignment vertical="center"/>
    </xf>
    <xf numFmtId="0" fontId="29" fillId="3" borderId="0" xfId="4" applyFill="1" applyAlignment="1">
      <alignment horizontal="right" vertical="center"/>
    </xf>
    <xf numFmtId="0" fontId="29" fillId="3" borderId="0" xfId="4" applyFill="1" applyAlignment="1">
      <alignment horizontal="center" vertical="center"/>
    </xf>
    <xf numFmtId="0" fontId="29" fillId="3" borderId="40" xfId="4" applyFill="1" applyBorder="1" applyAlignment="1">
      <alignment horizontal="center" vertical="center"/>
    </xf>
    <xf numFmtId="0" fontId="30" fillId="3" borderId="0" xfId="4" applyFont="1" applyFill="1">
      <alignment vertical="center"/>
    </xf>
    <xf numFmtId="0" fontId="29" fillId="3" borderId="2" xfId="4" applyFill="1" applyBorder="1">
      <alignment vertical="center"/>
    </xf>
    <xf numFmtId="0" fontId="39" fillId="3" borderId="51" xfId="4" applyFont="1" applyFill="1" applyBorder="1" applyAlignment="1">
      <alignment vertical="center" wrapText="1"/>
    </xf>
    <xf numFmtId="38" fontId="40" fillId="10" borderId="51" xfId="3" applyFont="1" applyFill="1" applyBorder="1">
      <alignment vertical="center"/>
    </xf>
    <xf numFmtId="0" fontId="29" fillId="3" borderId="51" xfId="4" applyFill="1" applyBorder="1">
      <alignment vertical="center"/>
    </xf>
    <xf numFmtId="0" fontId="39" fillId="3" borderId="52" xfId="4" applyFont="1" applyFill="1" applyBorder="1" applyAlignment="1">
      <alignment vertical="center" wrapText="1"/>
    </xf>
    <xf numFmtId="38" fontId="40" fillId="10" borderId="52" xfId="3" applyFont="1" applyFill="1" applyBorder="1">
      <alignment vertical="center"/>
    </xf>
    <xf numFmtId="0" fontId="29" fillId="3" borderId="52" xfId="4" applyFill="1" applyBorder="1">
      <alignment vertical="center"/>
    </xf>
    <xf numFmtId="181" fontId="29" fillId="3" borderId="30" xfId="4" applyNumberFormat="1" applyFill="1" applyBorder="1" applyAlignment="1">
      <alignment horizontal="center" vertical="center"/>
    </xf>
    <xf numFmtId="0" fontId="39" fillId="3" borderId="42" xfId="4" applyFont="1" applyFill="1" applyBorder="1" applyAlignment="1">
      <alignment vertical="center" wrapText="1"/>
    </xf>
    <xf numFmtId="38" fontId="40" fillId="10" borderId="42" xfId="3" applyFont="1" applyFill="1" applyBorder="1">
      <alignment vertical="center"/>
    </xf>
    <xf numFmtId="0" fontId="29" fillId="3" borderId="42" xfId="4" applyFill="1" applyBorder="1">
      <alignment vertical="center"/>
    </xf>
    <xf numFmtId="179" fontId="29" fillId="3" borderId="7" xfId="4" applyNumberFormat="1" applyFill="1" applyBorder="1" applyAlignment="1">
      <alignment horizontal="center" vertical="center"/>
    </xf>
    <xf numFmtId="178" fontId="40" fillId="3" borderId="0" xfId="1" applyNumberFormat="1" applyFont="1" applyFill="1" applyBorder="1" applyAlignment="1">
      <alignment horizontal="center" vertical="center"/>
    </xf>
    <xf numFmtId="0" fontId="41" fillId="3" borderId="51" xfId="4" applyFont="1" applyFill="1" applyBorder="1" applyAlignment="1">
      <alignment vertical="center" wrapText="1"/>
    </xf>
    <xf numFmtId="0" fontId="29" fillId="10" borderId="36" xfId="4" applyFill="1" applyBorder="1" applyAlignment="1">
      <alignment horizontal="center" vertical="center"/>
    </xf>
    <xf numFmtId="0" fontId="41" fillId="3" borderId="52" xfId="4" applyFont="1" applyFill="1" applyBorder="1" applyAlignment="1">
      <alignment vertical="center" wrapText="1"/>
    </xf>
    <xf numFmtId="181" fontId="29" fillId="10" borderId="30" xfId="4" applyNumberFormat="1" applyFill="1" applyBorder="1" applyAlignment="1">
      <alignment horizontal="center" vertical="center"/>
    </xf>
    <xf numFmtId="0" fontId="41" fillId="3" borderId="42" xfId="4" applyFont="1" applyFill="1" applyBorder="1" applyAlignment="1">
      <alignment vertical="center" wrapText="1"/>
    </xf>
    <xf numFmtId="0" fontId="4" fillId="0" borderId="0" xfId="0" applyFont="1" applyAlignment="1">
      <alignment vertical="center" wrapText="1"/>
    </xf>
    <xf numFmtId="0" fontId="4" fillId="0" borderId="40" xfId="0" applyFont="1" applyBorder="1" applyAlignment="1">
      <alignment vertical="center" wrapText="1"/>
    </xf>
    <xf numFmtId="0" fontId="4" fillId="0" borderId="17" xfId="0" applyFont="1" applyBorder="1" applyAlignment="1">
      <alignment vertical="center"/>
    </xf>
    <xf numFmtId="0" fontId="4" fillId="0" borderId="40" xfId="0" applyFont="1" applyBorder="1" applyAlignment="1">
      <alignment vertical="top"/>
    </xf>
    <xf numFmtId="0" fontId="4" fillId="0" borderId="17" xfId="0" applyFont="1" applyBorder="1" applyAlignment="1">
      <alignment vertical="top"/>
    </xf>
    <xf numFmtId="0" fontId="4" fillId="0" borderId="30" xfId="0" applyFont="1" applyBorder="1" applyAlignment="1">
      <alignment vertical="center"/>
    </xf>
    <xf numFmtId="0" fontId="4" fillId="0" borderId="36" xfId="0" applyFont="1" applyBorder="1" applyAlignment="1">
      <alignment vertical="center"/>
    </xf>
    <xf numFmtId="0" fontId="4" fillId="0" borderId="15" xfId="0" applyFont="1" applyBorder="1" applyAlignment="1">
      <alignment vertical="center"/>
    </xf>
    <xf numFmtId="0" fontId="0" fillId="0" borderId="0" xfId="0" applyAlignment="1">
      <alignment horizontal="right"/>
    </xf>
    <xf numFmtId="0" fontId="4" fillId="0" borderId="0" xfId="0" applyFont="1" applyAlignment="1">
      <alignment horizontal="left" vertical="top"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7" xfId="0" applyFont="1" applyBorder="1" applyAlignment="1">
      <alignment horizontal="left" vertical="center" wrapText="1"/>
    </xf>
    <xf numFmtId="0" fontId="4" fillId="0" borderId="40"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7" xfId="0" applyFont="1" applyBorder="1" applyAlignment="1">
      <alignment horizontal="center" vertical="center"/>
    </xf>
    <xf numFmtId="0" fontId="4" fillId="0" borderId="40"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2" xfId="0" applyFont="1" applyBorder="1" applyAlignment="1">
      <alignment horizontal="center" vertical="center"/>
    </xf>
    <xf numFmtId="0" fontId="5" fillId="0" borderId="0" xfId="0" applyFont="1" applyAlignment="1">
      <alignment horizontal="center" vertical="center"/>
    </xf>
    <xf numFmtId="0" fontId="5" fillId="0" borderId="5" xfId="0" applyFont="1" applyBorder="1" applyAlignment="1">
      <alignment horizontal="center" vertical="center"/>
    </xf>
    <xf numFmtId="0" fontId="4" fillId="0" borderId="0" xfId="0" applyFont="1" applyAlignment="1">
      <alignment horizontal="center" vertical="center" wrapText="1"/>
    </xf>
    <xf numFmtId="0" fontId="8" fillId="0" borderId="8" xfId="0" applyFont="1" applyBorder="1" applyAlignment="1">
      <alignment horizontal="center" vertical="center"/>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8" fillId="0" borderId="40" xfId="0" applyFont="1" applyBorder="1" applyAlignment="1">
      <alignment horizontal="left" vertical="center" wrapText="1"/>
    </xf>
    <xf numFmtId="0" fontId="9" fillId="0" borderId="0" xfId="0" applyFont="1" applyAlignment="1">
      <alignment horizontal="left" vertical="center" wrapText="1"/>
    </xf>
    <xf numFmtId="0" fontId="9" fillId="0" borderId="17" xfId="0" applyFont="1" applyBorder="1" applyAlignment="1">
      <alignment horizontal="center" vertical="center"/>
    </xf>
    <xf numFmtId="0" fontId="9" fillId="0" borderId="40" xfId="0" applyFont="1" applyBorder="1" applyAlignment="1">
      <alignment horizontal="center" vertical="center"/>
    </xf>
    <xf numFmtId="0" fontId="5" fillId="0" borderId="17" xfId="0" applyFont="1" applyBorder="1" applyAlignment="1">
      <alignment horizontal="center" vertical="center"/>
    </xf>
    <xf numFmtId="0" fontId="5" fillId="0" borderId="40" xfId="0" applyFont="1" applyBorder="1" applyAlignment="1">
      <alignment horizontal="center" vertical="center"/>
    </xf>
    <xf numFmtId="0" fontId="5" fillId="0" borderId="0" xfId="0" applyFont="1" applyAlignment="1">
      <alignment horizontal="left" vertical="center" wrapText="1"/>
    </xf>
    <xf numFmtId="0" fontId="5" fillId="0" borderId="7" xfId="0" applyFont="1" applyBorder="1" applyAlignment="1">
      <alignment horizontal="center" vertical="center"/>
    </xf>
    <xf numFmtId="0" fontId="5" fillId="0" borderId="2" xfId="0" applyFont="1" applyBorder="1" applyAlignment="1">
      <alignment horizontal="center" vertical="center"/>
    </xf>
    <xf numFmtId="0" fontId="4" fillId="0" borderId="0" xfId="0" applyFont="1" applyAlignment="1">
      <alignment vertical="top" wrapText="1"/>
    </xf>
    <xf numFmtId="0" fontId="4" fillId="0" borderId="0" xfId="0" applyFont="1" applyAlignment="1">
      <alignment vertical="top"/>
    </xf>
    <xf numFmtId="0" fontId="4" fillId="0" borderId="0" xfId="0" applyFont="1" applyAlignment="1">
      <alignment horizontal="center"/>
    </xf>
    <xf numFmtId="0" fontId="4" fillId="0" borderId="40" xfId="0" applyFont="1" applyBorder="1" applyAlignment="1">
      <alignmen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6" xfId="0" applyFont="1" applyBorder="1" applyAlignment="1">
      <alignment horizontal="center"/>
    </xf>
    <xf numFmtId="0" fontId="4" fillId="0" borderId="3" xfId="0" applyFont="1" applyBorder="1" applyAlignment="1">
      <alignment horizontal="center"/>
    </xf>
    <xf numFmtId="0" fontId="25" fillId="0" borderId="26"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6" xfId="0" applyFont="1" applyBorder="1" applyAlignment="1">
      <alignment horizontal="center" vertical="center"/>
    </xf>
    <xf numFmtId="0" fontId="25" fillId="0" borderId="25" xfId="0" applyFont="1" applyBorder="1" applyAlignment="1">
      <alignment horizontal="center" vertical="center" wrapText="1"/>
    </xf>
    <xf numFmtId="0" fontId="4" fillId="0" borderId="5"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15" xfId="0" applyFont="1" applyBorder="1" applyAlignment="1">
      <alignment horizontal="left" vertical="center" shrinkToFit="1"/>
    </xf>
    <xf numFmtId="0" fontId="8" fillId="0" borderId="6" xfId="0" applyFont="1" applyBorder="1" applyAlignment="1">
      <alignment vertical="center"/>
    </xf>
    <xf numFmtId="0" fontId="4" fillId="0" borderId="7" xfId="6" applyFont="1" applyBorder="1" applyAlignment="1">
      <alignment horizontal="center" vertical="center"/>
    </xf>
    <xf numFmtId="0" fontId="49" fillId="0" borderId="1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 fillId="0" borderId="17" xfId="6" applyFont="1" applyBorder="1" applyAlignment="1">
      <alignment horizontal="center" vertical="center"/>
    </xf>
    <xf numFmtId="0" fontId="4" fillId="0" borderId="0" xfId="6" applyFont="1" applyAlignment="1">
      <alignment horizontal="center" vertical="center"/>
    </xf>
    <xf numFmtId="0" fontId="4" fillId="0" borderId="40" xfId="6" applyFont="1" applyBorder="1" applyAlignment="1">
      <alignment horizontal="center" vertical="center"/>
    </xf>
    <xf numFmtId="0" fontId="8" fillId="0" borderId="5" xfId="0" applyFont="1" applyBorder="1"/>
    <xf numFmtId="0" fontId="8" fillId="0" borderId="4" xfId="0" applyFont="1" applyBorder="1"/>
    <xf numFmtId="0" fontId="4" fillId="0" borderId="6" xfId="0" applyFont="1" applyBorder="1" applyAlignment="1">
      <alignment vertical="center"/>
    </xf>
    <xf numFmtId="0" fontId="5" fillId="0" borderId="17" xfId="0" applyFont="1" applyBorder="1" applyAlignment="1">
      <alignment vertical="center"/>
    </xf>
    <xf numFmtId="0" fontId="5" fillId="0" borderId="40" xfId="0" applyFont="1" applyBorder="1" applyAlignment="1">
      <alignment vertical="center"/>
    </xf>
    <xf numFmtId="0" fontId="4" fillId="0" borderId="6" xfId="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16" xfId="6" applyFont="1" applyBorder="1" applyAlignment="1">
      <alignment horizontal="center" vertical="center"/>
    </xf>
    <xf numFmtId="0" fontId="4" fillId="0" borderId="5" xfId="6" applyFont="1" applyBorder="1" applyAlignment="1">
      <alignment horizontal="center" vertical="center"/>
    </xf>
    <xf numFmtId="0" fontId="4" fillId="0" borderId="5" xfId="0" applyFont="1" applyBorder="1" applyAlignment="1">
      <alignment vertical="center" shrinkToFit="1"/>
    </xf>
    <xf numFmtId="0" fontId="4" fillId="0" borderId="15" xfId="0" applyFont="1" applyBorder="1" applyAlignment="1">
      <alignment vertical="center" shrinkToFi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9" fillId="0" borderId="1" xfId="0" applyFont="1" applyBorder="1" applyAlignment="1">
      <alignment horizontal="center" vertical="center"/>
    </xf>
    <xf numFmtId="0" fontId="4" fillId="0" borderId="15" xfId="6" applyFont="1" applyBorder="1" applyAlignment="1">
      <alignment horizontal="center" vertical="center"/>
    </xf>
    <xf numFmtId="0" fontId="4" fillId="0" borderId="3" xfId="6" applyFont="1" applyBorder="1" applyAlignment="1">
      <alignment horizontal="center" vertical="center"/>
    </xf>
    <xf numFmtId="0" fontId="4" fillId="0" borderId="4" xfId="6" applyFont="1" applyBorder="1" applyAlignment="1">
      <alignment horizontal="center" vertical="center"/>
    </xf>
    <xf numFmtId="0" fontId="4" fillId="0" borderId="17" xfId="0" applyFont="1" applyBorder="1" applyAlignment="1">
      <alignment vertical="center" wrapText="1"/>
    </xf>
    <xf numFmtId="0" fontId="50" fillId="0" borderId="0" xfId="0" applyFont="1" applyAlignment="1">
      <alignment vertical="center"/>
    </xf>
    <xf numFmtId="0" fontId="4" fillId="0" borderId="17" xfId="0" applyFont="1" applyBorder="1" applyAlignment="1">
      <alignment horizontal="center" vertical="top"/>
    </xf>
    <xf numFmtId="0" fontId="4" fillId="0" borderId="5" xfId="0" applyFont="1" applyBorder="1" applyAlignment="1">
      <alignment horizontal="right" vertical="center"/>
    </xf>
    <xf numFmtId="0" fontId="4" fillId="0" borderId="30" xfId="0" applyFont="1" applyBorder="1"/>
    <xf numFmtId="0" fontId="5" fillId="0" borderId="0" xfId="0" applyFont="1"/>
    <xf numFmtId="0" fontId="49" fillId="0" borderId="7" xfId="0" applyFont="1" applyBorder="1" applyAlignment="1">
      <alignment horizontal="center"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0" fontId="8" fillId="0" borderId="17" xfId="0" applyFont="1" applyBorder="1" applyAlignment="1">
      <alignment vertical="center"/>
    </xf>
    <xf numFmtId="0" fontId="8" fillId="0" borderId="16" xfId="0" applyFont="1" applyBorder="1" applyAlignment="1">
      <alignment vertical="center"/>
    </xf>
    <xf numFmtId="49" fontId="4" fillId="0" borderId="5" xfId="0" applyNumberFormat="1" applyFont="1" applyBorder="1" applyAlignment="1">
      <alignment horizontal="left" vertical="center"/>
    </xf>
    <xf numFmtId="0" fontId="48" fillId="0" borderId="0" xfId="0" applyFont="1" applyAlignment="1">
      <alignment horizontal="left"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0" fillId="0" borderId="7" xfId="0" applyBorder="1"/>
    <xf numFmtId="0" fontId="25" fillId="0" borderId="7" xfId="0" applyFont="1" applyBorder="1" applyAlignment="1">
      <alignment vertical="center"/>
    </xf>
    <xf numFmtId="0" fontId="25" fillId="0" borderId="8" xfId="0" applyFont="1" applyBorder="1" applyAlignment="1">
      <alignment vertical="center"/>
    </xf>
    <xf numFmtId="0" fontId="25" fillId="0" borderId="4" xfId="0" applyFont="1" applyBorder="1" applyAlignment="1">
      <alignment vertical="center"/>
    </xf>
    <xf numFmtId="0" fontId="25" fillId="0" borderId="1" xfId="0" applyFont="1" applyBorder="1" applyAlignment="1">
      <alignment vertical="center"/>
    </xf>
    <xf numFmtId="0" fontId="25" fillId="0" borderId="0" xfId="0" applyFont="1" applyAlignment="1">
      <alignment vertical="center"/>
    </xf>
    <xf numFmtId="0" fontId="25" fillId="0" borderId="40" xfId="0" applyFont="1" applyBorder="1" applyAlignment="1">
      <alignment vertical="center"/>
    </xf>
    <xf numFmtId="0" fontId="25" fillId="0" borderId="5" xfId="0" applyFont="1" applyBorder="1" applyAlignment="1">
      <alignment vertical="center"/>
    </xf>
    <xf numFmtId="0" fontId="25" fillId="0" borderId="15" xfId="0" applyFont="1" applyBorder="1" applyAlignment="1">
      <alignment vertical="center"/>
    </xf>
    <xf numFmtId="0" fontId="25" fillId="0" borderId="2" xfId="0" applyFont="1" applyBorder="1" applyAlignment="1">
      <alignment horizontal="center" vertical="center"/>
    </xf>
    <xf numFmtId="0" fontId="48" fillId="0" borderId="0" xfId="0" applyFont="1" applyAlignment="1">
      <alignment wrapText="1"/>
    </xf>
    <xf numFmtId="0" fontId="25" fillId="0" borderId="25" xfId="0" applyFont="1" applyBorder="1" applyAlignment="1">
      <alignment vertical="center"/>
    </xf>
    <xf numFmtId="0" fontId="48" fillId="0" borderId="0" xfId="0" applyFont="1" applyAlignment="1">
      <alignment horizontal="left" wrapText="1"/>
    </xf>
    <xf numFmtId="0" fontId="25" fillId="0" borderId="17" xfId="0" applyFont="1" applyBorder="1" applyAlignment="1">
      <alignment vertical="center"/>
    </xf>
    <xf numFmtId="0" fontId="25" fillId="0" borderId="2" xfId="0" applyFont="1" applyBorder="1" applyAlignment="1">
      <alignment vertical="center"/>
    </xf>
    <xf numFmtId="0" fontId="25" fillId="0" borderId="40" xfId="0" applyFont="1" applyBorder="1" applyAlignment="1">
      <alignment horizontal="center" vertical="center"/>
    </xf>
    <xf numFmtId="0" fontId="0" fillId="0" borderId="4" xfId="0" applyBorder="1"/>
    <xf numFmtId="0" fontId="0" fillId="0" borderId="5" xfId="0" applyBorder="1"/>
    <xf numFmtId="0" fontId="4" fillId="0" borderId="5" xfId="0" applyFont="1" applyBorder="1" applyAlignment="1">
      <alignment horizontal="center" vertical="center" wrapText="1"/>
    </xf>
    <xf numFmtId="0" fontId="4" fillId="0" borderId="17" xfId="6" applyFont="1" applyBorder="1" applyAlignment="1">
      <alignment vertical="center"/>
    </xf>
    <xf numFmtId="0" fontId="4" fillId="0" borderId="0" xfId="6" applyFont="1" applyAlignment="1">
      <alignment vertical="center"/>
    </xf>
    <xf numFmtId="0" fontId="4" fillId="0" borderId="40" xfId="6" applyFont="1" applyBorder="1" applyAlignment="1">
      <alignment vertical="center"/>
    </xf>
    <xf numFmtId="0" fontId="4" fillId="0" borderId="5" xfId="6" applyFont="1" applyBorder="1" applyAlignment="1">
      <alignment horizontal="left" vertical="center"/>
    </xf>
    <xf numFmtId="0" fontId="4" fillId="0" borderId="15" xfId="6" applyFont="1" applyBorder="1" applyAlignment="1">
      <alignment horizontal="left" vertical="center"/>
    </xf>
    <xf numFmtId="0" fontId="4" fillId="0" borderId="0" xfId="6" applyFont="1" applyAlignment="1">
      <alignment horizontal="left" vertical="center"/>
    </xf>
    <xf numFmtId="0" fontId="4" fillId="0" borderId="4" xfId="6" applyFont="1" applyBorder="1" applyAlignment="1">
      <alignment horizontal="left" vertical="center"/>
    </xf>
    <xf numFmtId="0" fontId="4" fillId="0" borderId="1" xfId="6" applyFont="1" applyBorder="1" applyAlignment="1">
      <alignment horizontal="left" vertical="center"/>
    </xf>
    <xf numFmtId="0" fontId="4" fillId="0" borderId="30" xfId="0" applyFont="1" applyBorder="1" applyAlignment="1">
      <alignment vertical="center" wrapText="1"/>
    </xf>
    <xf numFmtId="0" fontId="25" fillId="0" borderId="30" xfId="0" applyFont="1" applyBorder="1" applyAlignment="1">
      <alignment vertical="center"/>
    </xf>
    <xf numFmtId="0" fontId="25" fillId="0" borderId="6" xfId="0" applyFont="1" applyBorder="1" applyAlignment="1">
      <alignment vertical="center"/>
    </xf>
    <xf numFmtId="182" fontId="4" fillId="0" borderId="7" xfId="6" applyNumberFormat="1" applyFont="1" applyBorder="1" applyAlignment="1">
      <alignment horizontal="center" vertical="center"/>
    </xf>
    <xf numFmtId="182" fontId="4" fillId="0" borderId="8" xfId="6" applyNumberFormat="1" applyFont="1" applyBorder="1" applyAlignment="1">
      <alignment horizontal="center" vertical="center"/>
    </xf>
    <xf numFmtId="182" fontId="4" fillId="0" borderId="40" xfId="6" applyNumberFormat="1" applyFont="1" applyBorder="1" applyAlignment="1">
      <alignment vertical="center"/>
    </xf>
    <xf numFmtId="0" fontId="4" fillId="0" borderId="16" xfId="0" applyFont="1" applyBorder="1" applyAlignment="1">
      <alignment vertical="center" wrapText="1"/>
    </xf>
    <xf numFmtId="182" fontId="4" fillId="0" borderId="5" xfId="6" applyNumberFormat="1" applyFont="1" applyBorder="1" applyAlignment="1">
      <alignment horizontal="center" vertical="center"/>
    </xf>
    <xf numFmtId="182" fontId="4" fillId="0" borderId="15" xfId="6" applyNumberFormat="1" applyFont="1" applyBorder="1" applyAlignment="1">
      <alignment vertical="center"/>
    </xf>
    <xf numFmtId="178" fontId="4" fillId="0" borderId="0" xfId="0" applyNumberFormat="1" applyFont="1" applyAlignment="1">
      <alignment vertical="center"/>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horizontal="center" vertical="center"/>
    </xf>
    <xf numFmtId="0" fontId="10" fillId="0" borderId="0" xfId="0" applyFont="1" applyAlignment="1">
      <alignment horizontal="left" vertical="top"/>
    </xf>
    <xf numFmtId="0" fontId="10"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left"/>
    </xf>
    <xf numFmtId="0" fontId="51" fillId="0" borderId="0" xfId="0" applyFont="1" applyAlignment="1">
      <alignment vertical="center"/>
    </xf>
    <xf numFmtId="0" fontId="11" fillId="0" borderId="40" xfId="0" applyFont="1" applyBorder="1" applyAlignment="1">
      <alignment vertical="center" shrinkToFit="1"/>
    </xf>
    <xf numFmtId="0" fontId="4" fillId="0" borderId="36" xfId="0" applyFont="1" applyBorder="1" applyAlignment="1">
      <alignment horizontal="center" vertical="center"/>
    </xf>
    <xf numFmtId="0" fontId="25" fillId="0" borderId="5" xfId="0" applyFont="1" applyBorder="1" applyAlignment="1">
      <alignment horizontal="left" vertical="center"/>
    </xf>
    <xf numFmtId="178" fontId="4" fillId="0" borderId="5" xfId="0" applyNumberFormat="1" applyFont="1" applyBorder="1" applyAlignment="1">
      <alignment vertical="center"/>
    </xf>
    <xf numFmtId="178" fontId="4" fillId="0" borderId="4" xfId="0" applyNumberFormat="1" applyFont="1" applyBorder="1" applyAlignment="1">
      <alignment vertical="center"/>
    </xf>
    <xf numFmtId="0" fontId="11" fillId="0" borderId="0" xfId="0" applyFont="1" applyAlignment="1">
      <alignment vertical="top"/>
    </xf>
    <xf numFmtId="0" fontId="11" fillId="0" borderId="0" xfId="0" applyFont="1" applyAlignment="1">
      <alignment vertical="center"/>
    </xf>
    <xf numFmtId="0" fontId="4" fillId="0" borderId="1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5" xfId="0"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0" fontId="11" fillId="0" borderId="0" xfId="0" applyFont="1" applyAlignment="1">
      <alignment horizontal="left" vertical="center"/>
    </xf>
    <xf numFmtId="0" fontId="52" fillId="0" borderId="0" xfId="0" applyFont="1" applyAlignment="1">
      <alignment vertical="center"/>
    </xf>
    <xf numFmtId="0" fontId="4" fillId="0" borderId="101" xfId="0" applyFont="1" applyBorder="1" applyAlignment="1">
      <alignment horizontal="left" vertical="center"/>
    </xf>
    <xf numFmtId="0" fontId="53" fillId="0" borderId="0" xfId="0" applyFont="1" applyAlignment="1">
      <alignment horizontal="left" vertical="top"/>
    </xf>
    <xf numFmtId="0" fontId="53" fillId="0" borderId="0" xfId="0" applyFont="1" applyAlignment="1">
      <alignment horizontal="right" vertical="center"/>
    </xf>
    <xf numFmtId="0" fontId="53" fillId="0" borderId="0" xfId="0" applyFont="1" applyAlignment="1">
      <alignment vertical="center"/>
    </xf>
    <xf numFmtId="0" fontId="53" fillId="0" borderId="0" xfId="0" applyFont="1" applyAlignment="1">
      <alignment horizontal="center" vertical="top"/>
    </xf>
    <xf numFmtId="0" fontId="53" fillId="0" borderId="11" xfId="0" applyFont="1" applyBorder="1" applyAlignment="1">
      <alignment horizontal="center" vertical="center"/>
    </xf>
    <xf numFmtId="0" fontId="53" fillId="0" borderId="9" xfId="0" applyFont="1" applyBorder="1" applyAlignment="1">
      <alignment horizontal="center" vertical="center"/>
    </xf>
    <xf numFmtId="0" fontId="53" fillId="0" borderId="112" xfId="0" applyFont="1" applyBorder="1" applyAlignment="1">
      <alignment horizontal="center" vertical="center"/>
    </xf>
    <xf numFmtId="0" fontId="53" fillId="0" borderId="0" xfId="0" applyFont="1" applyAlignment="1">
      <alignment horizontal="left" vertical="center"/>
    </xf>
    <xf numFmtId="0" fontId="53" fillId="0" borderId="4" xfId="0" applyFont="1" applyBorder="1" applyAlignment="1">
      <alignment horizontal="right" vertical="center"/>
    </xf>
    <xf numFmtId="0" fontId="53" fillId="0" borderId="1" xfId="0" applyFont="1" applyBorder="1" applyAlignment="1">
      <alignment horizontal="left" vertical="center"/>
    </xf>
    <xf numFmtId="0" fontId="53" fillId="0" borderId="6" xfId="0" applyFont="1" applyBorder="1" applyAlignment="1">
      <alignment horizontal="center" vertical="center"/>
    </xf>
    <xf numFmtId="0" fontId="53" fillId="0" borderId="8" xfId="0" applyFont="1" applyBorder="1" applyAlignment="1">
      <alignment horizontal="left" vertical="center"/>
    </xf>
    <xf numFmtId="0" fontId="53" fillId="0" borderId="7" xfId="0" applyFont="1" applyBorder="1" applyAlignment="1">
      <alignment horizontal="left" vertical="center"/>
    </xf>
    <xf numFmtId="0" fontId="53" fillId="0" borderId="0" xfId="0" applyFont="1" applyAlignment="1">
      <alignment horizontal="center" vertical="center"/>
    </xf>
    <xf numFmtId="0" fontId="53" fillId="0" borderId="4" xfId="0" applyFont="1" applyBorder="1" applyAlignment="1">
      <alignment horizontal="left" vertical="center"/>
    </xf>
    <xf numFmtId="0" fontId="53" fillId="0" borderId="5" xfId="0" applyFont="1" applyBorder="1" applyAlignment="1">
      <alignment horizontal="center" vertical="center"/>
    </xf>
    <xf numFmtId="0" fontId="53" fillId="0" borderId="111" xfId="0" applyFont="1" applyBorder="1" applyAlignment="1">
      <alignment horizontal="center" vertical="center"/>
    </xf>
    <xf numFmtId="0" fontId="53" fillId="0" borderId="107" xfId="0" applyFont="1" applyBorder="1" applyAlignment="1">
      <alignment horizontal="left" vertical="center"/>
    </xf>
    <xf numFmtId="0" fontId="53" fillId="0" borderId="16" xfId="0" applyFont="1" applyBorder="1" applyAlignment="1">
      <alignment horizontal="center" vertical="center"/>
    </xf>
    <xf numFmtId="0" fontId="53" fillId="0" borderId="5" xfId="0" applyFont="1" applyBorder="1" applyAlignment="1">
      <alignment horizontal="left" vertical="center"/>
    </xf>
    <xf numFmtId="0" fontId="53" fillId="0" borderId="40" xfId="0" applyFont="1" applyBorder="1" applyAlignment="1">
      <alignment horizontal="left" vertical="center"/>
    </xf>
    <xf numFmtId="0" fontId="53" fillId="0" borderId="15" xfId="0" applyFont="1" applyBorder="1" applyAlignment="1">
      <alignment horizontal="left" vertical="center"/>
    </xf>
    <xf numFmtId="0" fontId="53" fillId="0" borderId="56" xfId="0" applyFont="1" applyBorder="1" applyAlignment="1">
      <alignment horizontal="left" vertical="top"/>
    </xf>
    <xf numFmtId="0" fontId="53" fillId="0" borderId="5" xfId="0" applyFont="1" applyBorder="1" applyAlignment="1">
      <alignment horizontal="left" vertical="top"/>
    </xf>
    <xf numFmtId="0" fontId="53" fillId="0" borderId="4" xfId="0" applyFont="1" applyBorder="1" applyAlignment="1">
      <alignment horizontal="left" vertical="top"/>
    </xf>
    <xf numFmtId="0" fontId="25" fillId="0" borderId="0" xfId="0" applyFont="1"/>
    <xf numFmtId="0" fontId="4" fillId="0" borderId="101" xfId="0" applyFont="1" applyBorder="1"/>
    <xf numFmtId="0" fontId="4" fillId="2" borderId="0" xfId="0" applyFont="1" applyFill="1" applyAlignment="1">
      <alignment horizontal="left" vertical="center"/>
    </xf>
    <xf numFmtId="0" fontId="5" fillId="0" borderId="16" xfId="0" applyFont="1" applyBorder="1" applyAlignment="1">
      <alignment vertical="center"/>
    </xf>
    <xf numFmtId="0" fontId="29" fillId="3" borderId="0" xfId="4" applyFill="1" applyAlignment="1">
      <alignment horizontal="left" vertical="center"/>
    </xf>
    <xf numFmtId="0" fontId="29" fillId="3" borderId="36" xfId="4" applyFill="1" applyBorder="1" applyAlignment="1">
      <alignment horizontal="center" vertical="center"/>
    </xf>
    <xf numFmtId="0" fontId="29" fillId="10" borderId="0" xfId="4" applyFill="1" applyAlignment="1">
      <alignment horizontal="center" vertical="center"/>
    </xf>
    <xf numFmtId="0" fontId="38" fillId="3" borderId="0" xfId="4" applyFont="1" applyFill="1" applyAlignment="1">
      <alignment horizontal="center" vertical="center"/>
    </xf>
    <xf numFmtId="0" fontId="29" fillId="10" borderId="2" xfId="4" applyFill="1" applyBorder="1" applyAlignment="1">
      <alignment horizontal="center" vertical="center"/>
    </xf>
    <xf numFmtId="0" fontId="54" fillId="3" borderId="0" xfId="4" applyFont="1" applyFill="1">
      <alignment vertical="center"/>
    </xf>
    <xf numFmtId="0" fontId="55" fillId="3" borderId="0" xfId="4" applyFont="1" applyFill="1">
      <alignment vertical="center"/>
    </xf>
    <xf numFmtId="0" fontId="29" fillId="3" borderId="0" xfId="4" applyFill="1" applyAlignment="1">
      <alignment horizontal="center" vertical="center" shrinkToFit="1"/>
    </xf>
    <xf numFmtId="181" fontId="29" fillId="0" borderId="30" xfId="4" applyNumberFormat="1" applyBorder="1" applyAlignment="1">
      <alignment horizontal="center" vertical="center"/>
    </xf>
    <xf numFmtId="0" fontId="29" fillId="0" borderId="2" xfId="4" applyBorder="1">
      <alignment vertical="center"/>
    </xf>
    <xf numFmtId="0" fontId="29" fillId="0" borderId="2" xfId="4" applyBorder="1" applyAlignment="1">
      <alignment horizontal="center" vertical="center"/>
    </xf>
    <xf numFmtId="0" fontId="29" fillId="3" borderId="4" xfId="4" applyFill="1" applyBorder="1" applyAlignment="1">
      <alignment horizontal="center" vertical="center"/>
    </xf>
    <xf numFmtId="177" fontId="2" fillId="3" borderId="4" xfId="3" applyNumberFormat="1" applyFont="1" applyFill="1" applyBorder="1" applyAlignment="1">
      <alignment horizontal="center" vertical="center"/>
    </xf>
    <xf numFmtId="0" fontId="29" fillId="3" borderId="4" xfId="4" applyFill="1" applyBorder="1" applyAlignment="1">
      <alignment vertical="center" wrapText="1"/>
    </xf>
    <xf numFmtId="38" fontId="2" fillId="3" borderId="4" xfId="3" applyFont="1" applyFill="1" applyBorder="1">
      <alignment vertical="center"/>
    </xf>
    <xf numFmtId="0" fontId="29" fillId="3" borderId="4" xfId="4" applyFill="1" applyBorder="1">
      <alignment vertical="center"/>
    </xf>
    <xf numFmtId="38" fontId="2" fillId="3" borderId="5" xfId="3" applyFont="1" applyFill="1" applyBorder="1">
      <alignment vertical="center"/>
    </xf>
    <xf numFmtId="0" fontId="29" fillId="3" borderId="5" xfId="4" applyFill="1" applyBorder="1">
      <alignment vertical="center"/>
    </xf>
    <xf numFmtId="0" fontId="29" fillId="3" borderId="17" xfId="4" applyFill="1" applyBorder="1">
      <alignment vertical="center"/>
    </xf>
    <xf numFmtId="0" fontId="29" fillId="3" borderId="16" xfId="4" applyFill="1" applyBorder="1">
      <alignment vertical="center"/>
    </xf>
    <xf numFmtId="0" fontId="5" fillId="0" borderId="39" xfId="0" applyFont="1" applyBorder="1" applyAlignment="1">
      <alignment vertical="center" wrapText="1"/>
    </xf>
    <xf numFmtId="0" fontId="35" fillId="9" borderId="0" xfId="0" applyFont="1" applyFill="1" applyAlignment="1">
      <alignment horizontal="right" vertical="top"/>
    </xf>
    <xf numFmtId="0" fontId="12" fillId="5" borderId="15" xfId="0" applyFont="1" applyFill="1" applyBorder="1" applyAlignment="1">
      <alignment horizontal="center" vertical="center" shrinkToFit="1"/>
    </xf>
    <xf numFmtId="0" fontId="57" fillId="0" borderId="5" xfId="0" applyFont="1" applyBorder="1" applyAlignment="1">
      <alignment horizontal="center" vertical="center"/>
    </xf>
    <xf numFmtId="0" fontId="57" fillId="0" borderId="0" xfId="0" applyFont="1" applyAlignment="1">
      <alignment horizontal="center" vertical="center"/>
    </xf>
    <xf numFmtId="0" fontId="0" fillId="0" borderId="0" xfId="0" applyAlignment="1">
      <alignment horizontal="center" vertical="center"/>
    </xf>
    <xf numFmtId="0" fontId="58" fillId="2" borderId="0" xfId="0" applyFont="1" applyFill="1" applyAlignment="1">
      <alignment horizontal="left" vertical="top"/>
    </xf>
    <xf numFmtId="0" fontId="58" fillId="2" borderId="0" xfId="0" applyFont="1" applyFill="1" applyAlignment="1">
      <alignment horizontal="left" vertical="center"/>
    </xf>
    <xf numFmtId="0" fontId="58" fillId="2" borderId="6" xfId="0" applyFont="1" applyFill="1" applyBorder="1" applyAlignment="1">
      <alignment horizontal="left" vertical="center"/>
    </xf>
    <xf numFmtId="0" fontId="58" fillId="2" borderId="7" xfId="0" applyFont="1" applyFill="1" applyBorder="1" applyAlignment="1">
      <alignment horizontal="left" vertical="center"/>
    </xf>
    <xf numFmtId="0" fontId="58" fillId="2" borderId="8" xfId="0" applyFont="1" applyFill="1" applyBorder="1" applyAlignment="1">
      <alignment horizontal="left" vertical="center"/>
    </xf>
    <xf numFmtId="0" fontId="58" fillId="2" borderId="3" xfId="0" applyFont="1" applyFill="1" applyBorder="1" applyAlignment="1">
      <alignment horizontal="left" vertical="top"/>
    </xf>
    <xf numFmtId="0" fontId="58" fillId="2" borderId="4" xfId="0" applyFont="1" applyFill="1" applyBorder="1" applyAlignment="1">
      <alignment horizontal="left" vertical="top"/>
    </xf>
    <xf numFmtId="0" fontId="58" fillId="2" borderId="1" xfId="0" applyFont="1" applyFill="1" applyBorder="1" applyAlignment="1">
      <alignment horizontal="left" vertical="top"/>
    </xf>
    <xf numFmtId="0" fontId="58" fillId="2" borderId="17" xfId="0" applyFont="1" applyFill="1" applyBorder="1" applyAlignment="1">
      <alignment horizontal="left" vertical="top"/>
    </xf>
    <xf numFmtId="0" fontId="58" fillId="2" borderId="40" xfId="0" applyFont="1" applyFill="1" applyBorder="1" applyAlignment="1">
      <alignment horizontal="left" vertical="top"/>
    </xf>
    <xf numFmtId="0" fontId="58" fillId="2" borderId="17" xfId="0" applyFont="1" applyFill="1" applyBorder="1" applyAlignment="1">
      <alignment horizontal="center" vertical="center"/>
    </xf>
    <xf numFmtId="0" fontId="58" fillId="2" borderId="0" xfId="0" applyFont="1" applyFill="1" applyAlignment="1">
      <alignment horizontal="center" vertical="center"/>
    </xf>
    <xf numFmtId="0" fontId="58" fillId="2" borderId="40" xfId="0" applyFont="1" applyFill="1" applyBorder="1" applyAlignment="1">
      <alignment horizontal="center" vertical="center"/>
    </xf>
    <xf numFmtId="0" fontId="58" fillId="2" borderId="16" xfId="0" applyFont="1" applyFill="1" applyBorder="1" applyAlignment="1">
      <alignment horizontal="left" vertical="top"/>
    </xf>
    <xf numFmtId="0" fontId="58" fillId="2" borderId="5" xfId="0" applyFont="1" applyFill="1" applyBorder="1" applyAlignment="1">
      <alignment horizontal="left" vertical="top"/>
    </xf>
    <xf numFmtId="0" fontId="58" fillId="2" borderId="15" xfId="0" applyFont="1" applyFill="1" applyBorder="1" applyAlignment="1">
      <alignment horizontal="left" vertical="top"/>
    </xf>
    <xf numFmtId="0" fontId="58" fillId="2" borderId="0" xfId="0" applyFont="1" applyFill="1" applyAlignment="1">
      <alignment horizontal="right" vertical="top"/>
    </xf>
    <xf numFmtId="0" fontId="58" fillId="2" borderId="0" xfId="0" applyFont="1" applyFill="1" applyAlignment="1">
      <alignment horizontal="left"/>
    </xf>
    <xf numFmtId="0" fontId="58" fillId="2" borderId="0" xfId="0" applyFont="1" applyFill="1"/>
    <xf numFmtId="0" fontId="59" fillId="0" borderId="33" xfId="0" applyFont="1" applyBorder="1" applyAlignment="1">
      <alignment vertical="center" shrinkToFit="1"/>
    </xf>
    <xf numFmtId="0" fontId="32" fillId="0" borderId="34" xfId="0" applyFont="1" applyBorder="1" applyAlignment="1">
      <alignment horizontal="center" vertical="center" shrinkToFit="1"/>
    </xf>
    <xf numFmtId="0" fontId="35" fillId="5" borderId="30" xfId="0" applyFont="1" applyFill="1" applyBorder="1" applyAlignment="1">
      <alignment horizontal="center" vertical="center" shrinkToFit="1"/>
    </xf>
    <xf numFmtId="0" fontId="35" fillId="5" borderId="36" xfId="0" applyFont="1" applyFill="1" applyBorder="1" applyAlignment="1">
      <alignment horizontal="center" vertical="center" shrinkToFit="1"/>
    </xf>
    <xf numFmtId="0" fontId="12" fillId="5" borderId="25" xfId="0" applyFont="1" applyFill="1" applyBorder="1" applyAlignment="1">
      <alignment vertical="center" shrinkToFit="1"/>
    </xf>
    <xf numFmtId="0" fontId="60" fillId="3" borderId="0" xfId="8" applyFont="1" applyFill="1">
      <alignment vertical="center"/>
    </xf>
    <xf numFmtId="0" fontId="61" fillId="3" borderId="0" xfId="8" applyFont="1" applyFill="1">
      <alignment vertical="center"/>
    </xf>
    <xf numFmtId="0" fontId="33" fillId="3" borderId="0" xfId="8" applyFont="1" applyFill="1">
      <alignment vertical="center"/>
    </xf>
    <xf numFmtId="0" fontId="14" fillId="3" borderId="0" xfId="8" applyFont="1" applyFill="1" applyAlignment="1">
      <alignment horizontal="left" vertical="center"/>
    </xf>
    <xf numFmtId="0" fontId="16" fillId="3" borderId="0" xfId="8" applyFont="1" applyFill="1" applyAlignment="1">
      <alignment horizontal="right" vertical="center"/>
    </xf>
    <xf numFmtId="0" fontId="60" fillId="0" borderId="0" xfId="8" applyFont="1">
      <alignment vertical="center"/>
    </xf>
    <xf numFmtId="0" fontId="63" fillId="4" borderId="5" xfId="8" applyFont="1" applyFill="1" applyBorder="1" applyAlignment="1">
      <alignment vertical="center" shrinkToFit="1"/>
    </xf>
    <xf numFmtId="0" fontId="63" fillId="3" borderId="0" xfId="8" applyFont="1" applyFill="1" applyAlignment="1">
      <alignment horizontal="center" vertical="center"/>
    </xf>
    <xf numFmtId="0" fontId="64" fillId="4" borderId="5" xfId="8" applyFont="1" applyFill="1" applyBorder="1" applyAlignment="1">
      <alignment vertical="center" shrinkToFit="1"/>
    </xf>
    <xf numFmtId="0" fontId="65" fillId="3" borderId="0" xfId="8" applyFont="1" applyFill="1">
      <alignment vertical="center"/>
    </xf>
    <xf numFmtId="0" fontId="14" fillId="3" borderId="0" xfId="8" applyFont="1" applyFill="1">
      <alignment vertical="center"/>
    </xf>
    <xf numFmtId="0" fontId="66" fillId="3" borderId="0" xfId="8" applyFont="1" applyFill="1" applyAlignment="1">
      <alignment vertical="center" shrinkToFit="1"/>
    </xf>
    <xf numFmtId="0" fontId="67" fillId="3" borderId="0" xfId="8" applyFont="1" applyFill="1">
      <alignment vertical="center"/>
    </xf>
    <xf numFmtId="0" fontId="60" fillId="5" borderId="74" xfId="8" applyFont="1" applyFill="1" applyBorder="1" applyAlignment="1">
      <alignment horizontal="center" vertical="center"/>
    </xf>
    <xf numFmtId="0" fontId="60" fillId="3" borderId="65" xfId="8" applyFont="1" applyFill="1" applyBorder="1" applyAlignment="1">
      <alignment horizontal="center" vertical="center"/>
    </xf>
    <xf numFmtId="0" fontId="60" fillId="3" borderId="0" xfId="8" applyFont="1" applyFill="1" applyAlignment="1">
      <alignment horizontal="center" vertical="center"/>
    </xf>
    <xf numFmtId="0" fontId="60" fillId="3" borderId="0" xfId="8" applyFont="1" applyFill="1" applyAlignment="1">
      <alignment horizontal="right" vertical="center"/>
    </xf>
    <xf numFmtId="0" fontId="68" fillId="3" borderId="0" xfId="8" applyFont="1" applyFill="1" applyAlignment="1">
      <alignment vertical="center" wrapText="1"/>
    </xf>
    <xf numFmtId="0" fontId="60" fillId="5" borderId="66" xfId="8" applyFont="1" applyFill="1" applyBorder="1" applyAlignment="1">
      <alignment horizontal="center" vertical="center"/>
    </xf>
    <xf numFmtId="0" fontId="60" fillId="3" borderId="72" xfId="8" applyFont="1" applyFill="1" applyBorder="1" applyAlignment="1">
      <alignment horizontal="center" vertical="center"/>
    </xf>
    <xf numFmtId="14" fontId="69" fillId="11" borderId="117" xfId="8" applyNumberFormat="1" applyFont="1" applyFill="1" applyBorder="1" applyAlignment="1">
      <alignment horizontal="center" vertical="center"/>
    </xf>
    <xf numFmtId="183" fontId="60" fillId="8" borderId="0" xfId="8" applyNumberFormat="1" applyFont="1" applyFill="1" applyAlignment="1">
      <alignment horizontal="center" vertical="center"/>
    </xf>
    <xf numFmtId="0" fontId="66" fillId="3" borderId="0" xfId="8" applyFont="1" applyFill="1">
      <alignment vertical="center"/>
    </xf>
    <xf numFmtId="0" fontId="66" fillId="3" borderId="0" xfId="8" applyFont="1" applyFill="1" applyAlignment="1">
      <alignment horizontal="right" vertical="center"/>
    </xf>
    <xf numFmtId="179" fontId="66" fillId="12" borderId="0" xfId="8" applyNumberFormat="1" applyFont="1" applyFill="1" applyAlignment="1">
      <alignment horizontal="center" vertical="center" shrinkToFit="1"/>
    </xf>
    <xf numFmtId="0" fontId="66" fillId="12" borderId="0" xfId="8" applyFont="1" applyFill="1" applyAlignment="1">
      <alignment horizontal="center" vertical="center" shrinkToFit="1"/>
    </xf>
    <xf numFmtId="0" fontId="66" fillId="3" borderId="0" xfId="8" applyFont="1" applyFill="1" applyAlignment="1">
      <alignment horizontal="center" vertical="center" shrinkToFit="1"/>
    </xf>
    <xf numFmtId="0" fontId="60" fillId="5" borderId="70" xfId="8" applyFont="1" applyFill="1" applyBorder="1" applyAlignment="1">
      <alignment horizontal="center" vertical="center"/>
    </xf>
    <xf numFmtId="0" fontId="60" fillId="3" borderId="73" xfId="8" applyFont="1" applyFill="1" applyBorder="1" applyAlignment="1">
      <alignment horizontal="center" vertical="center"/>
    </xf>
    <xf numFmtId="0" fontId="70" fillId="7" borderId="3" xfId="8" applyFont="1" applyFill="1" applyBorder="1">
      <alignment vertical="center"/>
    </xf>
    <xf numFmtId="0" fontId="70" fillId="7" borderId="4" xfId="8" applyFont="1" applyFill="1" applyBorder="1" applyAlignment="1">
      <alignment horizontal="center" vertical="center" shrinkToFit="1"/>
    </xf>
    <xf numFmtId="0" fontId="70" fillId="7" borderId="3" xfId="8" applyFont="1" applyFill="1" applyBorder="1" applyAlignment="1">
      <alignment horizontal="center" vertical="center"/>
    </xf>
    <xf numFmtId="0" fontId="70" fillId="7" borderId="17" xfId="8" applyFont="1" applyFill="1" applyBorder="1" applyAlignment="1">
      <alignment horizontal="center" vertical="center"/>
    </xf>
    <xf numFmtId="0" fontId="70" fillId="7" borderId="29" xfId="8" applyFont="1" applyFill="1" applyBorder="1" applyAlignment="1">
      <alignment horizontal="center" vertical="center" shrinkToFit="1"/>
    </xf>
    <xf numFmtId="0" fontId="70" fillId="7" borderId="120" xfId="8" applyFont="1" applyFill="1" applyBorder="1" applyAlignment="1">
      <alignment horizontal="center" vertical="center" shrinkToFit="1"/>
    </xf>
    <xf numFmtId="0" fontId="70" fillId="7" borderId="51" xfId="8" applyFont="1" applyFill="1" applyBorder="1" applyAlignment="1">
      <alignment horizontal="center" vertical="center" shrinkToFit="1"/>
    </xf>
    <xf numFmtId="0" fontId="70" fillId="7" borderId="121" xfId="8" applyFont="1" applyFill="1" applyBorder="1" applyAlignment="1">
      <alignment horizontal="center" vertical="center" shrinkToFit="1"/>
    </xf>
    <xf numFmtId="0" fontId="70" fillId="7" borderId="28" xfId="8" applyFont="1" applyFill="1" applyBorder="1" applyAlignment="1">
      <alignment horizontal="center" vertical="center" shrinkToFit="1"/>
    </xf>
    <xf numFmtId="0" fontId="70" fillId="7" borderId="16" xfId="8" applyFont="1" applyFill="1" applyBorder="1">
      <alignment vertical="center"/>
    </xf>
    <xf numFmtId="0" fontId="70" fillId="7" borderId="16" xfId="8" applyFont="1" applyFill="1" applyBorder="1" applyAlignment="1">
      <alignment horizontal="center" vertical="center" shrinkToFit="1"/>
    </xf>
    <xf numFmtId="184" fontId="70" fillId="7" borderId="122" xfId="8" applyNumberFormat="1" applyFont="1" applyFill="1" applyBorder="1" applyAlignment="1">
      <alignment horizontal="center" vertical="center" shrinkToFit="1"/>
    </xf>
    <xf numFmtId="184" fontId="70" fillId="7" borderId="15" xfId="8" applyNumberFormat="1" applyFont="1" applyFill="1" applyBorder="1" applyAlignment="1">
      <alignment horizontal="center" vertical="center" shrinkToFit="1"/>
    </xf>
    <xf numFmtId="184" fontId="70" fillId="7" borderId="123" xfId="8" applyNumberFormat="1" applyFont="1" applyFill="1" applyBorder="1" applyAlignment="1">
      <alignment horizontal="center" vertical="center" shrinkToFit="1"/>
    </xf>
    <xf numFmtId="0" fontId="70" fillId="7" borderId="15" xfId="8" applyFont="1" applyFill="1" applyBorder="1" applyAlignment="1">
      <alignment horizontal="center" vertical="center" shrinkToFit="1"/>
    </xf>
    <xf numFmtId="0" fontId="70" fillId="7" borderId="36" xfId="8" applyFont="1" applyFill="1" applyBorder="1" applyAlignment="1">
      <alignment horizontal="center" vertical="center" shrinkToFit="1"/>
    </xf>
    <xf numFmtId="0" fontId="60" fillId="5" borderId="29" xfId="8" applyFont="1" applyFill="1" applyBorder="1" applyAlignment="1">
      <alignment horizontal="center" vertical="center" shrinkToFit="1"/>
    </xf>
    <xf numFmtId="49" fontId="14" fillId="5" borderId="120" xfId="8" applyNumberFormat="1" applyFont="1" applyFill="1" applyBorder="1" applyAlignment="1">
      <alignment horizontal="center" vertical="center" shrinkToFit="1"/>
    </xf>
    <xf numFmtId="49" fontId="14" fillId="5" borderId="51" xfId="8" applyNumberFormat="1" applyFont="1" applyFill="1" applyBorder="1" applyAlignment="1">
      <alignment horizontal="center" vertical="center" shrinkToFit="1"/>
    </xf>
    <xf numFmtId="0" fontId="14" fillId="5" borderId="51" xfId="8" applyFont="1" applyFill="1" applyBorder="1" applyAlignment="1">
      <alignment horizontal="center" vertical="center" shrinkToFit="1"/>
    </xf>
    <xf numFmtId="49" fontId="14" fillId="5" borderId="121" xfId="8" applyNumberFormat="1" applyFont="1" applyFill="1" applyBorder="1" applyAlignment="1">
      <alignment horizontal="center" vertical="center" shrinkToFit="1"/>
    </xf>
    <xf numFmtId="0" fontId="14" fillId="5" borderId="28" xfId="8" applyFont="1" applyFill="1" applyBorder="1" applyAlignment="1">
      <alignment horizontal="center" vertical="center" shrinkToFit="1"/>
    </xf>
    <xf numFmtId="185" fontId="14" fillId="3" borderId="3" xfId="8" applyNumberFormat="1" applyFont="1" applyFill="1" applyBorder="1" applyAlignment="1">
      <alignment horizontal="right" vertical="center" shrinkToFit="1"/>
    </xf>
    <xf numFmtId="0" fontId="14" fillId="3" borderId="25" xfId="8" applyFont="1" applyFill="1" applyBorder="1" applyAlignment="1">
      <alignment vertical="center" shrinkToFit="1"/>
    </xf>
    <xf numFmtId="0" fontId="14" fillId="3" borderId="17" xfId="8" applyFont="1" applyFill="1" applyBorder="1" applyAlignment="1">
      <alignment horizontal="center" vertical="center" shrinkToFit="1"/>
    </xf>
    <xf numFmtId="0" fontId="14" fillId="3" borderId="40" xfId="8" applyFont="1" applyFill="1" applyBorder="1" applyAlignment="1">
      <alignment horizontal="center" vertical="center" shrinkToFit="1"/>
    </xf>
    <xf numFmtId="0" fontId="14" fillId="3" borderId="30" xfId="8" applyFont="1" applyFill="1" applyBorder="1" applyAlignment="1">
      <alignment vertical="center" shrinkToFit="1"/>
    </xf>
    <xf numFmtId="0" fontId="60" fillId="12" borderId="41" xfId="8" applyFont="1" applyFill="1" applyBorder="1" applyAlignment="1">
      <alignment horizontal="center" vertical="center" shrinkToFit="1"/>
    </xf>
    <xf numFmtId="0" fontId="33" fillId="12" borderId="124" xfId="8" applyFont="1" applyFill="1" applyBorder="1" applyAlignment="1">
      <alignment horizontal="center" vertical="center" shrinkToFit="1"/>
    </xf>
    <xf numFmtId="0" fontId="33" fillId="12" borderId="52" xfId="8" applyFont="1" applyFill="1" applyBorder="1" applyAlignment="1">
      <alignment horizontal="center" vertical="center" shrinkToFit="1"/>
    </xf>
    <xf numFmtId="0" fontId="33" fillId="12" borderId="125" xfId="8" applyFont="1" applyFill="1" applyBorder="1" applyAlignment="1">
      <alignment horizontal="center" vertical="center" shrinkToFit="1"/>
    </xf>
    <xf numFmtId="0" fontId="33" fillId="12" borderId="55" xfId="8" applyFont="1" applyFill="1" applyBorder="1" applyAlignment="1">
      <alignment horizontal="center" vertical="center" shrinkToFit="1"/>
    </xf>
    <xf numFmtId="2" fontId="14" fillId="12" borderId="16" xfId="8" applyNumberFormat="1" applyFont="1" applyFill="1" applyBorder="1" applyAlignment="1">
      <alignment horizontal="right" vertical="center" shrinkToFit="1"/>
    </xf>
    <xf numFmtId="2" fontId="14" fillId="12" borderId="36" xfId="8" applyNumberFormat="1" applyFont="1" applyFill="1" applyBorder="1" applyAlignment="1">
      <alignment horizontal="right" vertical="center" shrinkToFit="1"/>
    </xf>
    <xf numFmtId="2" fontId="14" fillId="12" borderId="16" xfId="8" applyNumberFormat="1" applyFont="1" applyFill="1" applyBorder="1" applyAlignment="1">
      <alignment horizontal="center" vertical="center" shrinkToFit="1"/>
    </xf>
    <xf numFmtId="2" fontId="14" fillId="12" borderId="15" xfId="8" applyNumberFormat="1" applyFont="1" applyFill="1" applyBorder="1" applyAlignment="1">
      <alignment horizontal="center" vertical="center" shrinkToFit="1"/>
    </xf>
    <xf numFmtId="179" fontId="14" fillId="12" borderId="36" xfId="8" applyNumberFormat="1" applyFont="1" applyFill="1" applyBorder="1" applyAlignment="1">
      <alignment horizontal="right" vertical="center" shrinkToFit="1"/>
    </xf>
    <xf numFmtId="49" fontId="14" fillId="5" borderId="28" xfId="8" applyNumberFormat="1" applyFont="1" applyFill="1" applyBorder="1" applyAlignment="1">
      <alignment horizontal="center" vertical="center" shrinkToFit="1"/>
    </xf>
    <xf numFmtId="0" fontId="60" fillId="3" borderId="126" xfId="8" applyFont="1" applyFill="1" applyBorder="1">
      <alignment vertical="center"/>
    </xf>
    <xf numFmtId="0" fontId="60" fillId="3" borderId="0" xfId="8" applyFont="1" applyFill="1" applyAlignment="1">
      <alignment horizontal="right" vertical="center" shrinkToFit="1"/>
    </xf>
    <xf numFmtId="2" fontId="14" fillId="12" borderId="30" xfId="8" applyNumberFormat="1" applyFont="1" applyFill="1" applyBorder="1" applyAlignment="1">
      <alignment horizontal="right" vertical="center" shrinkToFit="1"/>
    </xf>
    <xf numFmtId="0" fontId="14" fillId="7" borderId="2" xfId="8" applyFont="1" applyFill="1" applyBorder="1" applyAlignment="1">
      <alignment horizontal="left" vertical="center" shrinkToFit="1"/>
    </xf>
    <xf numFmtId="0" fontId="14" fillId="7" borderId="2" xfId="8" applyFont="1" applyFill="1" applyBorder="1" applyAlignment="1">
      <alignment horizontal="center" vertical="center" shrinkToFit="1"/>
    </xf>
    <xf numFmtId="0" fontId="60" fillId="7" borderId="2" xfId="8" applyFont="1" applyFill="1" applyBorder="1" applyAlignment="1">
      <alignment vertical="center" shrinkToFit="1"/>
    </xf>
    <xf numFmtId="0" fontId="60" fillId="7" borderId="6" xfId="8" applyFont="1" applyFill="1" applyBorder="1" applyAlignment="1">
      <alignment horizontal="center" vertical="center" shrinkToFit="1"/>
    </xf>
    <xf numFmtId="0" fontId="33" fillId="7" borderId="128" xfId="8" applyFont="1" applyFill="1" applyBorder="1" applyAlignment="1">
      <alignment horizontal="center" vertical="center" shrinkToFit="1"/>
    </xf>
    <xf numFmtId="0" fontId="33" fillId="7" borderId="2" xfId="8" applyFont="1" applyFill="1" applyBorder="1" applyAlignment="1">
      <alignment horizontal="center" vertical="center" shrinkToFit="1"/>
    </xf>
    <xf numFmtId="0" fontId="33" fillId="7" borderId="129" xfId="8" applyFont="1" applyFill="1" applyBorder="1" applyAlignment="1">
      <alignment horizontal="center" vertical="center" shrinkToFit="1"/>
    </xf>
    <xf numFmtId="0" fontId="33" fillId="7" borderId="8" xfId="8" applyFont="1" applyFill="1" applyBorder="1" applyAlignment="1">
      <alignment horizontal="center" vertical="center" shrinkToFit="1"/>
    </xf>
    <xf numFmtId="0" fontId="14" fillId="7" borderId="2" xfId="8" applyFont="1" applyFill="1" applyBorder="1" applyAlignment="1">
      <alignment horizontal="right" vertical="center" shrinkToFit="1"/>
    </xf>
    <xf numFmtId="0" fontId="14" fillId="7" borderId="6" xfId="8" applyFont="1" applyFill="1" applyBorder="1" applyAlignment="1">
      <alignment horizontal="right" vertical="center" shrinkToFit="1"/>
    </xf>
    <xf numFmtId="0" fontId="14" fillId="7" borderId="3" xfId="8" applyFont="1" applyFill="1" applyBorder="1" applyAlignment="1">
      <alignment horizontal="center" vertical="center" shrinkToFit="1"/>
    </xf>
    <xf numFmtId="0" fontId="14" fillId="7" borderId="1" xfId="8" applyFont="1" applyFill="1" applyBorder="1" applyAlignment="1">
      <alignment horizontal="center" vertical="center" shrinkToFit="1"/>
    </xf>
    <xf numFmtId="0" fontId="14" fillId="7" borderId="8" xfId="8" applyFont="1" applyFill="1" applyBorder="1" applyAlignment="1">
      <alignment horizontal="right" vertical="center" shrinkToFit="1"/>
    </xf>
    <xf numFmtId="0" fontId="60" fillId="8" borderId="3" xfId="8" applyFont="1" applyFill="1" applyBorder="1" applyAlignment="1">
      <alignment horizontal="center" vertical="center" shrinkToFit="1"/>
    </xf>
    <xf numFmtId="0" fontId="33" fillId="8" borderId="130" xfId="8" applyFont="1" applyFill="1" applyBorder="1" applyAlignment="1">
      <alignment horizontal="center" vertical="center" shrinkToFit="1"/>
    </xf>
    <xf numFmtId="0" fontId="33" fillId="8" borderId="25" xfId="8" applyFont="1" applyFill="1" applyBorder="1" applyAlignment="1">
      <alignment horizontal="center" vertical="center" shrinkToFit="1"/>
    </xf>
    <xf numFmtId="0" fontId="33" fillId="8" borderId="131" xfId="8" applyFont="1" applyFill="1" applyBorder="1" applyAlignment="1">
      <alignment horizontal="center" vertical="center" shrinkToFit="1"/>
    </xf>
    <xf numFmtId="0" fontId="33" fillId="8" borderId="1" xfId="8" applyFont="1" applyFill="1" applyBorder="1" applyAlignment="1">
      <alignment horizontal="center" vertical="center" shrinkToFit="1"/>
    </xf>
    <xf numFmtId="186" fontId="14" fillId="8" borderId="25" xfId="8" applyNumberFormat="1" applyFont="1" applyFill="1" applyBorder="1" applyAlignment="1">
      <alignment horizontal="left" vertical="center" shrinkToFit="1"/>
    </xf>
    <xf numFmtId="0" fontId="14" fillId="3" borderId="3" xfId="8" applyFont="1" applyFill="1" applyBorder="1" applyAlignment="1">
      <alignment horizontal="right" vertical="center" shrinkToFit="1"/>
    </xf>
    <xf numFmtId="0" fontId="14" fillId="3" borderId="3" xfId="8" applyFont="1" applyFill="1" applyBorder="1" applyAlignment="1">
      <alignment horizontal="center" vertical="center" shrinkToFit="1"/>
    </xf>
    <xf numFmtId="0" fontId="14" fillId="3" borderId="1" xfId="8" applyFont="1" applyFill="1" applyBorder="1" applyAlignment="1">
      <alignment horizontal="center" vertical="center" shrinkToFit="1"/>
    </xf>
    <xf numFmtId="0" fontId="14" fillId="3" borderId="1" xfId="8" applyFont="1" applyFill="1" applyBorder="1" applyAlignment="1">
      <alignment horizontal="right" vertical="center" shrinkToFit="1"/>
    </xf>
    <xf numFmtId="0" fontId="14" fillId="3" borderId="25" xfId="8" applyFont="1" applyFill="1" applyBorder="1" applyAlignment="1">
      <alignment horizontal="right" vertical="center" shrinkToFit="1"/>
    </xf>
    <xf numFmtId="0" fontId="60" fillId="3" borderId="5" xfId="8" applyFont="1" applyFill="1" applyBorder="1" applyAlignment="1">
      <alignment horizontal="right" vertical="center" shrinkToFit="1"/>
    </xf>
    <xf numFmtId="0" fontId="60" fillId="3" borderId="7" xfId="8" applyFont="1" applyFill="1" applyBorder="1" applyAlignment="1">
      <alignment vertical="center" shrinkToFit="1"/>
    </xf>
    <xf numFmtId="0" fontId="60" fillId="3" borderId="7" xfId="8" applyFont="1" applyFill="1" applyBorder="1" applyAlignment="1">
      <alignment horizontal="center" vertical="center" shrinkToFit="1"/>
    </xf>
    <xf numFmtId="0" fontId="33" fillId="3" borderId="7" xfId="8" applyFont="1" applyFill="1" applyBorder="1" applyAlignment="1">
      <alignment horizontal="center" vertical="center" shrinkToFit="1"/>
    </xf>
    <xf numFmtId="187" fontId="14" fillId="3" borderId="7" xfId="8" applyNumberFormat="1" applyFont="1" applyFill="1" applyBorder="1" applyAlignment="1">
      <alignment horizontal="left" vertical="center" shrinkToFit="1"/>
    </xf>
    <xf numFmtId="0" fontId="14" fillId="3" borderId="7" xfId="8" applyFont="1" applyFill="1" applyBorder="1" applyAlignment="1">
      <alignment horizontal="right" vertical="center" shrinkToFit="1"/>
    </xf>
    <xf numFmtId="0" fontId="14" fillId="3" borderId="7" xfId="8" applyFont="1" applyFill="1" applyBorder="1" applyAlignment="1">
      <alignment horizontal="center" vertical="center" shrinkToFit="1"/>
    </xf>
    <xf numFmtId="0" fontId="60" fillId="3" borderId="0" xfId="8" applyFont="1" applyFill="1" applyAlignment="1">
      <alignment vertical="center" shrinkToFit="1"/>
    </xf>
    <xf numFmtId="0" fontId="60" fillId="3" borderId="0" xfId="8" applyFont="1" applyFill="1" applyAlignment="1">
      <alignment horizontal="center" vertical="center" shrinkToFit="1"/>
    </xf>
    <xf numFmtId="0" fontId="33" fillId="3" borderId="0" xfId="8" applyFont="1" applyFill="1" applyAlignment="1">
      <alignment horizontal="center" vertical="center" shrinkToFit="1"/>
    </xf>
    <xf numFmtId="0" fontId="14" fillId="3" borderId="0" xfId="8" applyFont="1" applyFill="1" applyAlignment="1">
      <alignment horizontal="right" vertical="center" shrinkToFit="1"/>
    </xf>
    <xf numFmtId="0" fontId="33" fillId="3" borderId="0" xfId="8" applyFont="1" applyFill="1" applyAlignment="1">
      <alignment horizontal="left" vertical="center" shrinkToFit="1"/>
    </xf>
    <xf numFmtId="0" fontId="14" fillId="3" borderId="0" xfId="8" applyFont="1" applyFill="1" applyAlignment="1">
      <alignment horizontal="center" shrinkToFit="1"/>
    </xf>
    <xf numFmtId="0" fontId="33" fillId="3" borderId="0" xfId="8" applyFont="1" applyFill="1" applyAlignment="1">
      <alignment horizontal="right" vertical="center" shrinkToFit="1"/>
    </xf>
    <xf numFmtId="0" fontId="60" fillId="0" borderId="0" xfId="8" applyFont="1" applyAlignment="1">
      <alignment vertical="center" shrinkToFit="1"/>
    </xf>
    <xf numFmtId="14" fontId="69" fillId="8" borderId="117" xfId="8" applyNumberFormat="1" applyFont="1" applyFill="1" applyBorder="1" applyAlignment="1">
      <alignment horizontal="center" vertical="center" shrinkToFit="1"/>
    </xf>
    <xf numFmtId="0" fontId="60" fillId="3" borderId="46" xfId="8" applyFont="1" applyFill="1" applyBorder="1" applyAlignment="1">
      <alignment vertical="center" shrinkToFit="1"/>
    </xf>
    <xf numFmtId="0" fontId="14" fillId="3" borderId="46" xfId="8" applyFont="1" applyFill="1" applyBorder="1" applyAlignment="1">
      <alignment horizontal="center" vertical="center" shrinkToFit="1"/>
    </xf>
    <xf numFmtId="0" fontId="14" fillId="3" borderId="46" xfId="8" applyFont="1" applyFill="1" applyBorder="1" applyAlignment="1">
      <alignment horizontal="left" vertical="center" shrinkToFit="1"/>
    </xf>
    <xf numFmtId="0" fontId="60" fillId="0" borderId="0" xfId="8" applyFont="1" applyAlignment="1">
      <alignment horizontal="center" vertical="center" shrinkToFit="1"/>
    </xf>
    <xf numFmtId="0" fontId="66" fillId="8" borderId="117" xfId="8" applyFont="1" applyFill="1" applyBorder="1" applyAlignment="1">
      <alignment horizontal="center" shrinkToFit="1"/>
    </xf>
    <xf numFmtId="183" fontId="60" fillId="8" borderId="0" xfId="8" applyNumberFormat="1" applyFont="1" applyFill="1" applyAlignment="1">
      <alignment horizontal="center" vertical="center" shrinkToFit="1"/>
    </xf>
    <xf numFmtId="0" fontId="60" fillId="3" borderId="5" xfId="8" applyFont="1" applyFill="1" applyBorder="1" applyAlignment="1">
      <alignment vertical="center" shrinkToFit="1"/>
    </xf>
    <xf numFmtId="0" fontId="60" fillId="3" borderId="5" xfId="8" applyFont="1" applyFill="1" applyBorder="1" applyAlignment="1">
      <alignment horizontal="center" vertical="center" shrinkToFit="1"/>
    </xf>
    <xf numFmtId="0" fontId="33" fillId="3" borderId="5" xfId="8" applyFont="1" applyFill="1" applyBorder="1" applyAlignment="1">
      <alignment horizontal="center" vertical="center" shrinkToFit="1"/>
    </xf>
    <xf numFmtId="187" fontId="14" fillId="3" borderId="0" xfId="8" applyNumberFormat="1" applyFont="1" applyFill="1" applyAlignment="1">
      <alignment horizontal="center" shrinkToFit="1"/>
    </xf>
    <xf numFmtId="0" fontId="70" fillId="7" borderId="128" xfId="8" applyFont="1" applyFill="1" applyBorder="1" applyAlignment="1">
      <alignment horizontal="center" vertical="center" shrinkToFit="1"/>
    </xf>
    <xf numFmtId="0" fontId="70" fillId="7" borderId="2" xfId="8" applyFont="1" applyFill="1" applyBorder="1" applyAlignment="1">
      <alignment horizontal="center" vertical="center" shrinkToFit="1"/>
    </xf>
    <xf numFmtId="0" fontId="70" fillId="7" borderId="6" xfId="8" applyFont="1" applyFill="1" applyBorder="1" applyAlignment="1">
      <alignment horizontal="center" vertical="center" shrinkToFit="1"/>
    </xf>
    <xf numFmtId="187" fontId="70" fillId="7" borderId="2" xfId="8" applyNumberFormat="1" applyFont="1" applyFill="1" applyBorder="1" applyAlignment="1">
      <alignment horizontal="center" vertical="center" shrinkToFit="1"/>
    </xf>
    <xf numFmtId="0" fontId="70" fillId="7" borderId="2" xfId="8" applyFont="1" applyFill="1" applyBorder="1" applyAlignment="1">
      <alignment horizontal="right" vertical="center" shrinkToFit="1"/>
    </xf>
    <xf numFmtId="0" fontId="14" fillId="3" borderId="17" xfId="8" applyFont="1" applyFill="1" applyBorder="1" applyAlignment="1">
      <alignment horizontal="right" vertical="center" shrinkToFit="1"/>
    </xf>
    <xf numFmtId="0" fontId="60" fillId="8" borderId="29" xfId="8" applyFont="1" applyFill="1" applyBorder="1" applyAlignment="1">
      <alignment horizontal="center" vertical="center" shrinkToFit="1"/>
    </xf>
    <xf numFmtId="0" fontId="33" fillId="8" borderId="120" xfId="8" applyFont="1" applyFill="1" applyBorder="1" applyAlignment="1">
      <alignment horizontal="center" vertical="center" shrinkToFit="1"/>
    </xf>
    <xf numFmtId="0" fontId="33" fillId="8" borderId="51" xfId="8" applyFont="1" applyFill="1" applyBorder="1" applyAlignment="1">
      <alignment horizontal="center" vertical="center" shrinkToFit="1"/>
    </xf>
    <xf numFmtId="0" fontId="33" fillId="8" borderId="121" xfId="8" applyFont="1" applyFill="1" applyBorder="1" applyAlignment="1">
      <alignment horizontal="center" vertical="center" shrinkToFit="1"/>
    </xf>
    <xf numFmtId="0" fontId="33" fillId="8" borderId="28" xfId="8" applyFont="1" applyFill="1" applyBorder="1" applyAlignment="1">
      <alignment horizontal="center" vertical="center" shrinkToFit="1"/>
    </xf>
    <xf numFmtId="188" fontId="14" fillId="8" borderId="51" xfId="8" applyNumberFormat="1" applyFont="1" applyFill="1" applyBorder="1" applyAlignment="1">
      <alignment horizontal="right" vertical="center" shrinkToFit="1"/>
    </xf>
    <xf numFmtId="2" fontId="14" fillId="8" borderId="51" xfId="8" applyNumberFormat="1" applyFont="1" applyFill="1" applyBorder="1" applyAlignment="1">
      <alignment horizontal="right" vertical="center" shrinkToFit="1"/>
    </xf>
    <xf numFmtId="0" fontId="60" fillId="8" borderId="34" xfId="8" applyFont="1" applyFill="1" applyBorder="1" applyAlignment="1">
      <alignment horizontal="center" vertical="center" shrinkToFit="1"/>
    </xf>
    <xf numFmtId="0" fontId="33" fillId="8" borderId="133" xfId="8" applyFont="1" applyFill="1" applyBorder="1" applyAlignment="1">
      <alignment horizontal="center" vertical="center" shrinkToFit="1"/>
    </xf>
    <xf numFmtId="0" fontId="33" fillId="8" borderId="33" xfId="8" applyFont="1" applyFill="1" applyBorder="1" applyAlignment="1">
      <alignment horizontal="center" vertical="center" shrinkToFit="1"/>
    </xf>
    <xf numFmtId="0" fontId="33" fillId="8" borderId="134" xfId="8" applyFont="1" applyFill="1" applyBorder="1" applyAlignment="1">
      <alignment horizontal="center" vertical="center" shrinkToFit="1"/>
    </xf>
    <xf numFmtId="0" fontId="33" fillId="8" borderId="32" xfId="8" applyFont="1" applyFill="1" applyBorder="1" applyAlignment="1">
      <alignment horizontal="center" vertical="center" shrinkToFit="1"/>
    </xf>
    <xf numFmtId="188" fontId="14" fillId="8" borderId="33" xfId="8" applyNumberFormat="1" applyFont="1" applyFill="1" applyBorder="1" applyAlignment="1">
      <alignment horizontal="right" vertical="center" shrinkToFit="1"/>
    </xf>
    <xf numFmtId="2" fontId="14" fillId="8" borderId="33" xfId="8" applyNumberFormat="1" applyFont="1" applyFill="1" applyBorder="1" applyAlignment="1">
      <alignment horizontal="right" vertical="center" shrinkToFit="1"/>
    </xf>
    <xf numFmtId="0" fontId="60" fillId="8" borderId="41" xfId="8" applyFont="1" applyFill="1" applyBorder="1" applyAlignment="1">
      <alignment horizontal="center" vertical="center" shrinkToFit="1"/>
    </xf>
    <xf numFmtId="0" fontId="33" fillId="8" borderId="124" xfId="8" applyFont="1" applyFill="1" applyBorder="1" applyAlignment="1">
      <alignment horizontal="center" vertical="center" shrinkToFit="1"/>
    </xf>
    <xf numFmtId="0" fontId="33" fillId="8" borderId="52" xfId="8" applyFont="1" applyFill="1" applyBorder="1" applyAlignment="1">
      <alignment horizontal="center" vertical="center" shrinkToFit="1"/>
    </xf>
    <xf numFmtId="0" fontId="33" fillId="8" borderId="125" xfId="8" applyFont="1" applyFill="1" applyBorder="1" applyAlignment="1">
      <alignment horizontal="center" vertical="center" shrinkToFit="1"/>
    </xf>
    <xf numFmtId="0" fontId="33" fillId="8" borderId="55" xfId="8" applyFont="1" applyFill="1" applyBorder="1" applyAlignment="1">
      <alignment horizontal="center" vertical="center" shrinkToFit="1"/>
    </xf>
    <xf numFmtId="188" fontId="14" fillId="8" borderId="52" xfId="8" applyNumberFormat="1" applyFont="1" applyFill="1" applyBorder="1" applyAlignment="1">
      <alignment horizontal="right" vertical="center" shrinkToFit="1"/>
    </xf>
    <xf numFmtId="2" fontId="14" fillId="8" borderId="52" xfId="8" applyNumberFormat="1" applyFont="1" applyFill="1" applyBorder="1" applyAlignment="1">
      <alignment horizontal="right" vertical="center" shrinkToFit="1"/>
    </xf>
    <xf numFmtId="0" fontId="60" fillId="3" borderId="0" xfId="8" applyFont="1" applyFill="1" applyAlignment="1">
      <alignment vertical="center" wrapText="1"/>
    </xf>
    <xf numFmtId="49" fontId="67" fillId="3" borderId="0" xfId="8" applyNumberFormat="1" applyFont="1" applyFill="1" applyAlignment="1">
      <alignment vertical="center" wrapText="1"/>
    </xf>
    <xf numFmtId="0" fontId="67" fillId="3" borderId="0" xfId="8" applyFont="1" applyFill="1" applyAlignment="1">
      <alignment horizontal="right" vertical="center"/>
    </xf>
    <xf numFmtId="2" fontId="14" fillId="3" borderId="0" xfId="8" applyNumberFormat="1" applyFont="1" applyFill="1" applyAlignment="1">
      <alignment horizontal="right" vertical="center" shrinkToFit="1"/>
    </xf>
    <xf numFmtId="0" fontId="60" fillId="3" borderId="136" xfId="8" applyFont="1" applyFill="1" applyBorder="1" applyAlignment="1">
      <alignment vertical="center" shrinkToFit="1"/>
    </xf>
    <xf numFmtId="0" fontId="60" fillId="11" borderId="136" xfId="8" applyFont="1" applyFill="1" applyBorder="1" applyAlignment="1">
      <alignment vertical="center" shrinkToFit="1"/>
    </xf>
    <xf numFmtId="0" fontId="60" fillId="3" borderId="137" xfId="8" applyFont="1" applyFill="1" applyBorder="1" applyAlignment="1">
      <alignment vertical="center" shrinkToFit="1"/>
    </xf>
    <xf numFmtId="0" fontId="60" fillId="3" borderId="132" xfId="8" applyFont="1" applyFill="1" applyBorder="1" applyAlignment="1">
      <alignment vertical="center" shrinkToFit="1"/>
    </xf>
    <xf numFmtId="0" fontId="60" fillId="3" borderId="132" xfId="8" applyFont="1" applyFill="1" applyBorder="1" applyAlignment="1">
      <alignment horizontal="center" vertical="center" shrinkToFit="1"/>
    </xf>
    <xf numFmtId="0" fontId="60" fillId="11" borderId="132" xfId="8" applyFont="1" applyFill="1" applyBorder="1" applyAlignment="1">
      <alignment vertical="center" shrinkToFit="1"/>
    </xf>
    <xf numFmtId="0" fontId="60" fillId="3" borderId="141" xfId="8" applyFont="1" applyFill="1" applyBorder="1" applyAlignment="1">
      <alignment vertical="center" shrinkToFit="1"/>
    </xf>
    <xf numFmtId="0" fontId="70" fillId="7" borderId="2" xfId="8" applyFont="1" applyFill="1" applyBorder="1" applyAlignment="1">
      <alignment horizontal="center" vertical="center"/>
    </xf>
    <xf numFmtId="0" fontId="60" fillId="13" borderId="25" xfId="8" applyFont="1" applyFill="1" applyBorder="1" applyAlignment="1">
      <alignment horizontal="center" vertical="center"/>
    </xf>
    <xf numFmtId="0" fontId="60" fillId="11" borderId="51" xfId="8" applyFont="1" applyFill="1" applyBorder="1" applyAlignment="1">
      <alignment vertical="center" shrinkToFit="1"/>
    </xf>
    <xf numFmtId="0" fontId="60" fillId="0" borderId="27" xfId="8" applyFont="1" applyBorder="1" applyAlignment="1">
      <alignment horizontal="center" vertical="center"/>
    </xf>
    <xf numFmtId="0" fontId="60" fillId="3" borderId="0" xfId="8" quotePrefix="1" applyFont="1" applyFill="1">
      <alignment vertical="center"/>
    </xf>
    <xf numFmtId="0" fontId="60" fillId="11" borderId="145" xfId="8" applyFont="1" applyFill="1" applyBorder="1" applyAlignment="1">
      <alignment horizontal="center" vertical="center" shrinkToFit="1"/>
    </xf>
    <xf numFmtId="0" fontId="60" fillId="3" borderId="148" xfId="8" applyFont="1" applyFill="1" applyBorder="1" applyAlignment="1">
      <alignment horizontal="center" vertical="center" shrinkToFit="1"/>
    </xf>
    <xf numFmtId="0" fontId="60" fillId="3" borderId="147" xfId="8" applyFont="1" applyFill="1" applyBorder="1" applyAlignment="1">
      <alignment vertical="center" shrinkToFit="1"/>
    </xf>
    <xf numFmtId="0" fontId="60" fillId="12" borderId="149" xfId="8" applyFont="1" applyFill="1" applyBorder="1" applyAlignment="1">
      <alignment vertical="center" shrinkToFit="1"/>
    </xf>
    <xf numFmtId="2" fontId="60" fillId="11" borderId="144" xfId="8" applyNumberFormat="1" applyFont="1" applyFill="1" applyBorder="1" applyAlignment="1">
      <alignment vertical="center" shrinkToFit="1"/>
    </xf>
    <xf numFmtId="2" fontId="60" fillId="11" borderId="145" xfId="8" applyNumberFormat="1" applyFont="1" applyFill="1" applyBorder="1" applyAlignment="1">
      <alignment vertical="center" shrinkToFit="1"/>
    </xf>
    <xf numFmtId="2" fontId="60" fillId="12" borderId="149" xfId="8" applyNumberFormat="1" applyFont="1" applyFill="1" applyBorder="1" applyAlignment="1">
      <alignment vertical="center" shrinkToFit="1"/>
    </xf>
    <xf numFmtId="190" fontId="60" fillId="3" borderId="0" xfId="8" applyNumberFormat="1" applyFont="1" applyFill="1" applyAlignment="1">
      <alignment horizontal="center" vertical="center" shrinkToFit="1"/>
    </xf>
    <xf numFmtId="190" fontId="60" fillId="11" borderId="0" xfId="8" applyNumberFormat="1" applyFont="1" applyFill="1" applyAlignment="1">
      <alignment horizontal="center" vertical="center" shrinkToFit="1"/>
    </xf>
    <xf numFmtId="0" fontId="60" fillId="11" borderId="33" xfId="8" applyFont="1" applyFill="1" applyBorder="1" applyAlignment="1">
      <alignment vertical="center" shrinkToFit="1"/>
    </xf>
    <xf numFmtId="0" fontId="60" fillId="0" borderId="31" xfId="8" applyFont="1" applyBorder="1" applyAlignment="1">
      <alignment horizontal="center" vertical="center"/>
    </xf>
    <xf numFmtId="0" fontId="60" fillId="11" borderId="151" xfId="8" applyFont="1" applyFill="1" applyBorder="1" applyAlignment="1">
      <alignment horizontal="center" vertical="center" shrinkToFit="1"/>
    </xf>
    <xf numFmtId="0" fontId="60" fillId="3" borderId="154" xfId="8" applyFont="1" applyFill="1" applyBorder="1" applyAlignment="1">
      <alignment horizontal="center" vertical="center" shrinkToFit="1"/>
    </xf>
    <xf numFmtId="0" fontId="60" fillId="3" borderId="153" xfId="8" applyFont="1" applyFill="1" applyBorder="1" applyAlignment="1">
      <alignment vertical="center" shrinkToFit="1"/>
    </xf>
    <xf numFmtId="0" fontId="60" fillId="12" borderId="155" xfId="8" applyFont="1" applyFill="1" applyBorder="1" applyAlignment="1">
      <alignment vertical="center" shrinkToFit="1"/>
    </xf>
    <xf numFmtId="2" fontId="60" fillId="11" borderId="150" xfId="8" applyNumberFormat="1" applyFont="1" applyFill="1" applyBorder="1" applyAlignment="1">
      <alignment vertical="center" shrinkToFit="1"/>
    </xf>
    <xf numFmtId="2" fontId="60" fillId="11" borderId="151" xfId="8" applyNumberFormat="1" applyFont="1" applyFill="1" applyBorder="1" applyAlignment="1">
      <alignment vertical="center" shrinkToFit="1"/>
    </xf>
    <xf numFmtId="2" fontId="60" fillId="12" borderId="155" xfId="8" applyNumberFormat="1" applyFont="1" applyFill="1" applyBorder="1" applyAlignment="1">
      <alignment vertical="center" shrinkToFit="1"/>
    </xf>
    <xf numFmtId="0" fontId="60" fillId="11" borderId="53" xfId="8" applyFont="1" applyFill="1" applyBorder="1" applyAlignment="1">
      <alignment horizontal="center" vertical="center" shrinkToFit="1"/>
    </xf>
    <xf numFmtId="0" fontId="60" fillId="3" borderId="56" xfId="8" applyFont="1" applyFill="1" applyBorder="1" applyAlignment="1">
      <alignment horizontal="center" vertical="center" shrinkToFit="1"/>
    </xf>
    <xf numFmtId="0" fontId="60" fillId="3" borderId="156" xfId="8" applyFont="1" applyFill="1" applyBorder="1" applyAlignment="1">
      <alignment vertical="center" shrinkToFit="1"/>
    </xf>
    <xf numFmtId="0" fontId="60" fillId="12" borderId="42" xfId="8" applyFont="1" applyFill="1" applyBorder="1" applyAlignment="1">
      <alignment vertical="center" shrinkToFit="1"/>
    </xf>
    <xf numFmtId="2" fontId="60" fillId="11" borderId="42" xfId="8" applyNumberFormat="1" applyFont="1" applyFill="1" applyBorder="1" applyAlignment="1">
      <alignment vertical="center" shrinkToFit="1"/>
    </xf>
    <xf numFmtId="2" fontId="60" fillId="12" borderId="42" xfId="8" applyNumberFormat="1" applyFont="1" applyFill="1" applyBorder="1" applyAlignment="1">
      <alignment vertical="center" shrinkToFit="1"/>
    </xf>
    <xf numFmtId="0" fontId="60" fillId="11" borderId="33" xfId="8" applyFont="1" applyFill="1" applyBorder="1" applyAlignment="1">
      <alignment horizontal="center" vertical="center" shrinkToFit="1"/>
    </xf>
    <xf numFmtId="0" fontId="60" fillId="3" borderId="31" xfId="8" applyFont="1" applyFill="1" applyBorder="1" applyAlignment="1">
      <alignment horizontal="center" vertical="center" shrinkToFit="1"/>
    </xf>
    <xf numFmtId="0" fontId="60" fillId="3" borderId="32" xfId="8" applyFont="1" applyFill="1" applyBorder="1" applyAlignment="1">
      <alignment vertical="center" shrinkToFit="1"/>
    </xf>
    <xf numFmtId="0" fontId="60" fillId="12" borderId="33" xfId="8" applyFont="1" applyFill="1" applyBorder="1" applyAlignment="1">
      <alignment vertical="center" shrinkToFit="1"/>
    </xf>
    <xf numFmtId="2" fontId="60" fillId="11" borderId="33" xfId="8" applyNumberFormat="1" applyFont="1" applyFill="1" applyBorder="1" applyAlignment="1">
      <alignment vertical="center" shrinkToFit="1"/>
    </xf>
    <xf numFmtId="2" fontId="60" fillId="12" borderId="33" xfId="8" applyNumberFormat="1" applyFont="1" applyFill="1" applyBorder="1" applyAlignment="1">
      <alignment vertical="center" shrinkToFit="1"/>
    </xf>
    <xf numFmtId="0" fontId="60" fillId="11" borderId="33" xfId="8" applyFont="1" applyFill="1" applyBorder="1" applyAlignment="1">
      <alignment horizontal="left" vertical="center" shrinkToFit="1"/>
    </xf>
    <xf numFmtId="0" fontId="60" fillId="11" borderId="39" xfId="8" applyFont="1" applyFill="1" applyBorder="1" applyAlignment="1">
      <alignment vertical="center" shrinkToFit="1"/>
    </xf>
    <xf numFmtId="0" fontId="60" fillId="11" borderId="52" xfId="8" applyFont="1" applyFill="1" applyBorder="1" applyAlignment="1">
      <alignment vertical="center" shrinkToFit="1"/>
    </xf>
    <xf numFmtId="0" fontId="60" fillId="0" borderId="35" xfId="8" applyFont="1" applyBorder="1" applyAlignment="1">
      <alignment horizontal="center" vertical="center"/>
    </xf>
    <xf numFmtId="0" fontId="60" fillId="11" borderId="52" xfId="8" applyFont="1" applyFill="1" applyBorder="1" applyAlignment="1">
      <alignment horizontal="center" vertical="center" shrinkToFit="1"/>
    </xf>
    <xf numFmtId="0" fontId="60" fillId="3" borderId="35" xfId="8" applyFont="1" applyFill="1" applyBorder="1" applyAlignment="1">
      <alignment horizontal="center" vertical="center" shrinkToFit="1"/>
    </xf>
    <xf numFmtId="0" fontId="60" fillId="3" borderId="55" xfId="8" applyFont="1" applyFill="1" applyBorder="1" applyAlignment="1">
      <alignment vertical="center" shrinkToFit="1"/>
    </xf>
    <xf numFmtId="0" fontId="60" fillId="12" borderId="52" xfId="8" applyFont="1" applyFill="1" applyBorder="1" applyAlignment="1">
      <alignment vertical="center" shrinkToFit="1"/>
    </xf>
    <xf numFmtId="2" fontId="60" fillId="11" borderId="52" xfId="8" applyNumberFormat="1" applyFont="1" applyFill="1" applyBorder="1" applyAlignment="1">
      <alignment vertical="center" shrinkToFit="1"/>
    </xf>
    <xf numFmtId="2" fontId="60" fillId="12" borderId="52" xfId="8" applyNumberFormat="1" applyFont="1" applyFill="1" applyBorder="1" applyAlignment="1">
      <alignment vertical="center" shrinkToFit="1"/>
    </xf>
    <xf numFmtId="0" fontId="60" fillId="3" borderId="4" xfId="8" applyFont="1" applyFill="1" applyBorder="1" applyAlignment="1">
      <alignment vertical="center" shrinkToFit="1"/>
    </xf>
    <xf numFmtId="0" fontId="60" fillId="3" borderId="4" xfId="8" applyFont="1" applyFill="1" applyBorder="1" applyAlignment="1">
      <alignment horizontal="center" vertical="center" shrinkToFit="1"/>
    </xf>
    <xf numFmtId="0" fontId="33" fillId="3" borderId="4" xfId="8" applyFont="1" applyFill="1" applyBorder="1" applyAlignment="1">
      <alignment horizontal="center" vertical="center" shrinkToFit="1"/>
    </xf>
    <xf numFmtId="0" fontId="14" fillId="3" borderId="4" xfId="8" applyFont="1" applyFill="1" applyBorder="1" applyAlignment="1">
      <alignment horizontal="right" vertical="center" shrinkToFit="1"/>
    </xf>
    <xf numFmtId="0" fontId="60" fillId="4" borderId="51" xfId="8" applyFont="1" applyFill="1" applyBorder="1" applyAlignment="1">
      <alignment vertical="center" shrinkToFit="1"/>
    </xf>
    <xf numFmtId="0" fontId="60" fillId="4" borderId="145" xfId="8" applyFont="1" applyFill="1" applyBorder="1" applyAlignment="1">
      <alignment horizontal="center" vertical="center" shrinkToFit="1"/>
    </xf>
    <xf numFmtId="0" fontId="60" fillId="4" borderId="33" xfId="8" applyFont="1" applyFill="1" applyBorder="1" applyAlignment="1">
      <alignment vertical="center" shrinkToFit="1"/>
    </xf>
    <xf numFmtId="0" fontId="60" fillId="4" borderId="151" xfId="8" applyFont="1" applyFill="1" applyBorder="1" applyAlignment="1">
      <alignment horizontal="center" vertical="center" shrinkToFit="1"/>
    </xf>
    <xf numFmtId="0" fontId="60" fillId="4" borderId="53" xfId="8" applyFont="1" applyFill="1" applyBorder="1" applyAlignment="1">
      <alignment horizontal="center" vertical="center" shrinkToFit="1"/>
    </xf>
    <xf numFmtId="0" fontId="60" fillId="4" borderId="33" xfId="8" applyFont="1" applyFill="1" applyBorder="1" applyAlignment="1">
      <alignment horizontal="center" vertical="center" shrinkToFit="1"/>
    </xf>
    <xf numFmtId="0" fontId="60" fillId="4" borderId="33" xfId="8" applyFont="1" applyFill="1" applyBorder="1" applyAlignment="1">
      <alignment horizontal="left" vertical="center" shrinkToFit="1"/>
    </xf>
    <xf numFmtId="0" fontId="60" fillId="4" borderId="39" xfId="8" applyFont="1" applyFill="1" applyBorder="1" applyAlignment="1">
      <alignment vertical="center" shrinkToFit="1"/>
    </xf>
    <xf numFmtId="0" fontId="60" fillId="4" borderId="52" xfId="8" applyFont="1" applyFill="1" applyBorder="1" applyAlignment="1">
      <alignment vertical="center" shrinkToFit="1"/>
    </xf>
    <xf numFmtId="0" fontId="60" fillId="4" borderId="52" xfId="8" applyFont="1" applyFill="1" applyBorder="1" applyAlignment="1">
      <alignment horizontal="center" vertical="center" shrinkToFit="1"/>
    </xf>
    <xf numFmtId="0" fontId="59" fillId="0" borderId="34" xfId="0" applyFont="1" applyBorder="1" applyAlignment="1">
      <alignment horizontal="center" vertical="center" shrinkToFit="1"/>
    </xf>
    <xf numFmtId="0" fontId="59" fillId="0" borderId="33" xfId="0" applyFont="1" applyBorder="1" applyAlignment="1">
      <alignment horizontal="center" vertical="center" shrinkToFit="1"/>
    </xf>
    <xf numFmtId="0" fontId="59" fillId="0" borderId="43" xfId="0" applyFont="1" applyBorder="1" applyAlignment="1">
      <alignment horizontal="center" vertical="center" shrinkToFit="1"/>
    </xf>
    <xf numFmtId="0" fontId="59" fillId="0" borderId="39" xfId="0" applyFont="1" applyBorder="1" applyAlignment="1">
      <alignment horizontal="center" vertical="center" shrinkToFit="1"/>
    </xf>
    <xf numFmtId="0" fontId="59" fillId="0" borderId="41" xfId="0" applyFont="1" applyBorder="1" applyAlignment="1">
      <alignment horizontal="center" vertical="center" shrinkToFit="1"/>
    </xf>
    <xf numFmtId="0" fontId="59" fillId="0" borderId="52" xfId="0" applyFont="1" applyBorder="1" applyAlignment="1">
      <alignment horizontal="center" vertical="center" shrinkToFit="1"/>
    </xf>
    <xf numFmtId="0" fontId="59" fillId="0" borderId="35" xfId="0" applyFont="1" applyBorder="1" applyAlignment="1">
      <alignment horizontal="center" vertical="center" shrinkToFit="1"/>
    </xf>
    <xf numFmtId="0" fontId="59" fillId="0" borderId="39" xfId="0" applyFont="1" applyBorder="1" applyAlignment="1">
      <alignment vertical="center" shrinkToFit="1"/>
    </xf>
    <xf numFmtId="0" fontId="59" fillId="0" borderId="43" xfId="0" applyFont="1" applyBorder="1" applyAlignment="1">
      <alignment vertical="center" shrinkToFit="1"/>
    </xf>
    <xf numFmtId="0" fontId="59" fillId="0" borderId="52" xfId="0" applyFont="1" applyBorder="1" applyAlignment="1">
      <alignment vertical="center" shrinkToFit="1"/>
    </xf>
    <xf numFmtId="0" fontId="5" fillId="0" borderId="33" xfId="0" applyFont="1" applyBorder="1" applyAlignment="1">
      <alignment vertical="center" wrapText="1"/>
    </xf>
    <xf numFmtId="0" fontId="59" fillId="0" borderId="33" xfId="0" applyFont="1" applyBorder="1" applyAlignment="1">
      <alignment vertical="center" wrapText="1"/>
    </xf>
    <xf numFmtId="0" fontId="59" fillId="0" borderId="39" xfId="0" applyFont="1" applyBorder="1" applyAlignment="1">
      <alignment vertical="center" wrapText="1"/>
    </xf>
    <xf numFmtId="0" fontId="59" fillId="3" borderId="33" xfId="0" applyFont="1" applyFill="1" applyBorder="1" applyAlignment="1">
      <alignment vertical="center" wrapText="1"/>
    </xf>
    <xf numFmtId="0" fontId="59" fillId="6" borderId="3" xfId="0" applyFont="1" applyFill="1" applyBorder="1" applyAlignment="1">
      <alignment horizontal="center" vertical="center" shrinkToFit="1"/>
    </xf>
    <xf numFmtId="0" fontId="59" fillId="6" borderId="6" xfId="0" applyFont="1" applyFill="1" applyBorder="1" applyAlignment="1">
      <alignment horizontal="center" vertical="center" shrinkToFit="1"/>
    </xf>
    <xf numFmtId="0" fontId="59" fillId="6" borderId="2" xfId="0" applyFont="1" applyFill="1" applyBorder="1" applyAlignment="1">
      <alignment horizontal="center" vertical="center" shrinkToFit="1"/>
    </xf>
    <xf numFmtId="0" fontId="59" fillId="6" borderId="4" xfId="0" applyFont="1" applyFill="1" applyBorder="1" applyAlignment="1">
      <alignment horizontal="center" vertical="center" shrinkToFit="1"/>
    </xf>
    <xf numFmtId="0" fontId="59" fillId="6" borderId="25" xfId="0" applyFont="1" applyFill="1" applyBorder="1" applyAlignment="1">
      <alignment horizontal="center" vertical="center" shrinkToFit="1"/>
    </xf>
    <xf numFmtId="0" fontId="59" fillId="0" borderId="33" xfId="0" applyFont="1" applyBorder="1" applyAlignment="1">
      <alignment vertical="center" wrapText="1" shrinkToFit="1"/>
    </xf>
    <xf numFmtId="0" fontId="59" fillId="0" borderId="30" xfId="0" applyFont="1" applyBorder="1" applyAlignment="1">
      <alignment vertical="center" wrapText="1"/>
    </xf>
    <xf numFmtId="0" fontId="80" fillId="0" borderId="30" xfId="9" applyFont="1" applyFill="1" applyBorder="1" applyAlignment="1">
      <alignment vertical="center" wrapText="1"/>
    </xf>
    <xf numFmtId="0" fontId="81" fillId="0" borderId="30" xfId="9" applyFont="1" applyFill="1" applyBorder="1" applyAlignment="1">
      <alignment vertical="center" wrapText="1"/>
    </xf>
    <xf numFmtId="0" fontId="81" fillId="0" borderId="42" xfId="9" applyFont="1" applyFill="1" applyBorder="1" applyAlignment="1">
      <alignment vertical="center" wrapText="1"/>
    </xf>
    <xf numFmtId="0" fontId="12" fillId="3" borderId="17" xfId="0" applyFont="1" applyFill="1" applyBorder="1" applyAlignment="1">
      <alignment vertical="center" shrinkToFit="1"/>
    </xf>
    <xf numFmtId="0" fontId="35" fillId="5" borderId="39" xfId="0" applyFont="1" applyFill="1" applyBorder="1" applyAlignment="1">
      <alignment horizontal="center" vertical="center" shrinkToFit="1"/>
    </xf>
    <xf numFmtId="0" fontId="12" fillId="5" borderId="39" xfId="0" applyFont="1" applyFill="1" applyBorder="1" applyAlignment="1">
      <alignment vertical="center" shrinkToFit="1"/>
    </xf>
    <xf numFmtId="0" fontId="12" fillId="3" borderId="0" xfId="0" applyFont="1" applyFill="1" applyBorder="1" applyAlignment="1">
      <alignment vertical="center" shrinkToFit="1"/>
    </xf>
    <xf numFmtId="0" fontId="59" fillId="6" borderId="3" xfId="0" applyFont="1" applyFill="1" applyBorder="1" applyAlignment="1">
      <alignment horizontal="center" vertical="center" wrapText="1" shrinkToFit="1"/>
    </xf>
    <xf numFmtId="0" fontId="12" fillId="5" borderId="25" xfId="0" applyFont="1" applyFill="1" applyBorder="1" applyAlignment="1">
      <alignment horizontal="center" vertical="center" shrinkToFit="1"/>
    </xf>
    <xf numFmtId="0" fontId="12" fillId="5" borderId="30" xfId="0" applyFont="1" applyFill="1" applyBorder="1" applyAlignment="1">
      <alignment horizontal="center" vertical="center" shrinkToFit="1"/>
    </xf>
    <xf numFmtId="0" fontId="12" fillId="5" borderId="42" xfId="0" applyFont="1" applyFill="1" applyBorder="1" applyAlignment="1">
      <alignment horizontal="center" vertical="center" shrinkToFit="1"/>
    </xf>
    <xf numFmtId="0" fontId="12" fillId="3" borderId="39" xfId="0" applyFont="1" applyFill="1" applyBorder="1" applyAlignment="1">
      <alignment horizontal="center" vertical="center" shrinkToFit="1"/>
    </xf>
    <xf numFmtId="0" fontId="4" fillId="0" borderId="17" xfId="0" applyFont="1" applyBorder="1" applyAlignment="1">
      <alignment horizontal="left" vertical="center" wrapText="1"/>
    </xf>
    <xf numFmtId="0" fontId="4" fillId="0" borderId="40"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40" xfId="0" applyFont="1" applyBorder="1" applyAlignment="1">
      <alignment vertical="center" wrapText="1"/>
    </xf>
    <xf numFmtId="0" fontId="4" fillId="0" borderId="0" xfId="0" applyFont="1" applyAlignment="1">
      <alignment vertical="top"/>
    </xf>
    <xf numFmtId="0" fontId="12" fillId="5" borderId="39" xfId="0" applyFont="1" applyFill="1" applyBorder="1" applyAlignment="1">
      <alignment vertical="center" wrapText="1"/>
    </xf>
    <xf numFmtId="0" fontId="0" fillId="5" borderId="30" xfId="0" applyFill="1" applyBorder="1" applyAlignment="1">
      <alignment vertical="center" wrapText="1"/>
    </xf>
    <xf numFmtId="0" fontId="0" fillId="5" borderId="36" xfId="0" applyFill="1" applyBorder="1" applyAlignment="1">
      <alignment vertical="center" wrapText="1"/>
    </xf>
    <xf numFmtId="0" fontId="12" fillId="5" borderId="3" xfId="0" applyFont="1" applyFill="1" applyBorder="1" applyAlignment="1">
      <alignment vertical="center" wrapText="1"/>
    </xf>
    <xf numFmtId="0" fontId="0" fillId="5" borderId="17" xfId="0" applyFill="1" applyBorder="1" applyAlignment="1">
      <alignment vertical="center" wrapText="1"/>
    </xf>
    <xf numFmtId="0" fontId="0" fillId="5" borderId="53" xfId="0" applyFill="1" applyBorder="1" applyAlignment="1">
      <alignment vertical="center" wrapText="1"/>
    </xf>
    <xf numFmtId="0" fontId="42" fillId="7" borderId="0" xfId="0" applyFont="1" applyFill="1" applyAlignment="1">
      <alignment vertical="top"/>
    </xf>
    <xf numFmtId="0" fontId="12" fillId="6" borderId="0" xfId="0" applyFont="1" applyFill="1" applyAlignment="1">
      <alignment vertical="top" wrapText="1"/>
    </xf>
    <xf numFmtId="0" fontId="37" fillId="7" borderId="3" xfId="0" applyFont="1" applyFill="1" applyBorder="1" applyAlignment="1">
      <alignment horizontal="center" vertical="center" shrinkToFit="1"/>
    </xf>
    <xf numFmtId="0" fontId="37" fillId="7" borderId="1" xfId="0" applyFont="1" applyFill="1" applyBorder="1" applyAlignment="1">
      <alignment horizontal="center" vertical="center" shrinkToFit="1"/>
    </xf>
    <xf numFmtId="0" fontId="35" fillId="3" borderId="4" xfId="0" applyFont="1" applyFill="1" applyBorder="1" applyAlignment="1">
      <alignment vertical="center" wrapText="1"/>
    </xf>
    <xf numFmtId="0" fontId="35" fillId="3" borderId="5" xfId="0" applyFont="1" applyFill="1" applyBorder="1" applyAlignment="1">
      <alignment vertical="center" wrapText="1"/>
    </xf>
    <xf numFmtId="0" fontId="35" fillId="5" borderId="39" xfId="0" applyFont="1" applyFill="1" applyBorder="1" applyAlignment="1">
      <alignment horizontal="left" vertical="center" wrapText="1" shrinkToFit="1"/>
    </xf>
    <xf numFmtId="0" fontId="35" fillId="5" borderId="30" xfId="0" applyFont="1" applyFill="1" applyBorder="1" applyAlignment="1">
      <alignment horizontal="left" vertical="center" wrapText="1" shrinkToFit="1"/>
    </xf>
    <xf numFmtId="0" fontId="35" fillId="5" borderId="36" xfId="0" applyFont="1" applyFill="1" applyBorder="1" applyAlignment="1">
      <alignment horizontal="left" vertical="center" wrapText="1" shrinkToFit="1"/>
    </xf>
    <xf numFmtId="0" fontId="12" fillId="3" borderId="25" xfId="0" applyFont="1" applyFill="1" applyBorder="1" applyAlignment="1">
      <alignment horizontal="center" vertical="center" wrapText="1" shrinkToFit="1"/>
    </xf>
    <xf numFmtId="0" fontId="12" fillId="3" borderId="30" xfId="0" applyFont="1" applyFill="1" applyBorder="1" applyAlignment="1">
      <alignment horizontal="center" vertical="center" wrapText="1" shrinkToFit="1"/>
    </xf>
    <xf numFmtId="0" fontId="12" fillId="3" borderId="25" xfId="0" applyFont="1" applyFill="1" applyBorder="1" applyAlignment="1">
      <alignment horizontal="left" vertical="center" shrinkToFit="1"/>
    </xf>
    <xf numFmtId="0" fontId="12" fillId="3" borderId="36" xfId="0" applyFont="1" applyFill="1" applyBorder="1" applyAlignment="1">
      <alignment horizontal="left" vertical="center" shrinkToFit="1"/>
    </xf>
    <xf numFmtId="0" fontId="12" fillId="3" borderId="25" xfId="0" applyFont="1" applyFill="1" applyBorder="1" applyAlignment="1">
      <alignment horizontal="left" vertical="center" wrapText="1" shrinkToFit="1"/>
    </xf>
    <xf numFmtId="0" fontId="12" fillId="3" borderId="30" xfId="0" applyFont="1" applyFill="1" applyBorder="1" applyAlignment="1">
      <alignment horizontal="left" vertical="center" shrinkToFit="1"/>
    </xf>
    <xf numFmtId="0" fontId="12" fillId="3" borderId="42" xfId="0" applyFont="1" applyFill="1" applyBorder="1" applyAlignment="1">
      <alignment horizontal="left" vertical="center" shrinkToFit="1"/>
    </xf>
    <xf numFmtId="0" fontId="35" fillId="5" borderId="40" xfId="0" applyFont="1" applyFill="1" applyBorder="1" applyAlignment="1">
      <alignment vertical="center" wrapText="1"/>
    </xf>
    <xf numFmtId="0" fontId="12" fillId="3" borderId="17" xfId="0" applyFont="1" applyFill="1" applyBorder="1" applyAlignment="1">
      <alignment vertical="center" shrinkToFit="1"/>
    </xf>
    <xf numFmtId="0" fontId="12" fillId="3" borderId="0" xfId="0" applyFont="1" applyFill="1" applyAlignment="1">
      <alignment vertical="center" shrinkToFit="1"/>
    </xf>
    <xf numFmtId="0" fontId="35" fillId="5" borderId="30" xfId="0" applyFont="1" applyFill="1" applyBorder="1" applyAlignment="1">
      <alignment vertical="center" wrapText="1"/>
    </xf>
    <xf numFmtId="0" fontId="35" fillId="5" borderId="36" xfId="0" applyFont="1" applyFill="1" applyBorder="1" applyAlignment="1">
      <alignment vertical="center" wrapText="1"/>
    </xf>
    <xf numFmtId="0" fontId="12" fillId="3" borderId="43" xfId="0" applyFont="1" applyFill="1" applyBorder="1" applyAlignment="1">
      <alignment vertical="center" wrapText="1"/>
    </xf>
    <xf numFmtId="0" fontId="12" fillId="3" borderId="16" xfId="0" applyFont="1" applyFill="1" applyBorder="1" applyAlignment="1">
      <alignment vertical="center" wrapText="1"/>
    </xf>
    <xf numFmtId="0" fontId="12" fillId="5" borderId="25" xfId="0" applyFont="1" applyFill="1" applyBorder="1" applyAlignment="1">
      <alignment vertical="center" wrapText="1"/>
    </xf>
    <xf numFmtId="0" fontId="12" fillId="5" borderId="30" xfId="0" applyFont="1" applyFill="1" applyBorder="1" applyAlignment="1">
      <alignment vertical="center" wrapText="1"/>
    </xf>
    <xf numFmtId="0" fontId="12" fillId="3" borderId="36" xfId="0" applyFont="1" applyFill="1" applyBorder="1" applyAlignment="1">
      <alignment horizontal="center" vertical="center" wrapText="1" shrinkToFit="1"/>
    </xf>
    <xf numFmtId="0" fontId="59" fillId="0" borderId="39" xfId="0" applyFont="1" applyBorder="1" applyAlignment="1">
      <alignment horizontal="center" vertical="center" shrinkToFit="1"/>
    </xf>
    <xf numFmtId="0" fontId="59" fillId="0" borderId="30" xfId="0" applyFont="1" applyBorder="1" applyAlignment="1">
      <alignment horizontal="center" vertical="center" shrinkToFit="1"/>
    </xf>
    <xf numFmtId="0" fontId="59" fillId="0" borderId="42" xfId="0" applyFont="1" applyBorder="1" applyAlignment="1">
      <alignment horizontal="center" vertical="center" shrinkToFit="1"/>
    </xf>
    <xf numFmtId="0" fontId="5" fillId="6" borderId="39" xfId="0" applyFont="1" applyFill="1" applyBorder="1" applyAlignment="1">
      <alignment horizontal="center" vertical="center"/>
    </xf>
    <xf numFmtId="0" fontId="5" fillId="6" borderId="30" xfId="0" applyFont="1" applyFill="1" applyBorder="1" applyAlignment="1">
      <alignment horizontal="center" vertical="center"/>
    </xf>
    <xf numFmtId="0" fontId="5" fillId="6" borderId="42" xfId="0" applyFont="1" applyFill="1" applyBorder="1" applyAlignment="1">
      <alignment horizontal="center" vertical="center"/>
    </xf>
    <xf numFmtId="0" fontId="59" fillId="0" borderId="39" xfId="0" applyFont="1" applyBorder="1" applyAlignment="1">
      <alignment horizontal="left" vertical="center" shrinkToFit="1"/>
    </xf>
    <xf numFmtId="0" fontId="59" fillId="0" borderId="30" xfId="0" applyFont="1" applyBorder="1" applyAlignment="1">
      <alignment horizontal="left" vertical="center" shrinkToFit="1"/>
    </xf>
    <xf numFmtId="0" fontId="59" fillId="0" borderId="42" xfId="0" applyFont="1" applyBorder="1" applyAlignment="1">
      <alignment horizontal="left" vertical="center" shrinkToFit="1"/>
    </xf>
    <xf numFmtId="0" fontId="77" fillId="6" borderId="25" xfId="0" applyFont="1" applyFill="1" applyBorder="1" applyAlignment="1">
      <alignment horizontal="center" vertical="top" textRotation="255" wrapText="1"/>
    </xf>
    <xf numFmtId="0" fontId="77" fillId="6" borderId="30" xfId="0" applyFont="1" applyFill="1" applyBorder="1" applyAlignment="1">
      <alignment horizontal="center" vertical="top" textRotation="255" wrapText="1"/>
    </xf>
    <xf numFmtId="0" fontId="77" fillId="6" borderId="36" xfId="0" applyFont="1" applyFill="1" applyBorder="1" applyAlignment="1">
      <alignment horizontal="center" vertical="top" textRotation="255" wrapText="1"/>
    </xf>
    <xf numFmtId="0" fontId="59" fillId="6" borderId="3" xfId="0" applyFont="1" applyFill="1" applyBorder="1" applyAlignment="1">
      <alignment vertical="top" textRotation="255" wrapText="1"/>
    </xf>
    <xf numFmtId="0" fontId="59" fillId="6" borderId="17" xfId="0" applyFont="1" applyFill="1" applyBorder="1" applyAlignment="1">
      <alignment vertical="top" textRotation="255" wrapText="1"/>
    </xf>
    <xf numFmtId="0" fontId="59" fillId="6" borderId="16" xfId="0" applyFont="1" applyFill="1" applyBorder="1" applyAlignment="1">
      <alignment vertical="top" textRotation="255" wrapText="1"/>
    </xf>
    <xf numFmtId="0" fontId="59" fillId="6" borderId="25" xfId="0" applyFont="1" applyFill="1" applyBorder="1" applyAlignment="1">
      <alignment horizontal="center" vertical="top" textRotation="255" wrapText="1"/>
    </xf>
    <xf numFmtId="0" fontId="59" fillId="6" borderId="30" xfId="0" applyFont="1" applyFill="1" applyBorder="1" applyAlignment="1">
      <alignment horizontal="center" vertical="top" textRotation="255" wrapText="1"/>
    </xf>
    <xf numFmtId="0" fontId="59" fillId="6" borderId="36" xfId="0" applyFont="1" applyFill="1" applyBorder="1" applyAlignment="1">
      <alignment horizontal="center" vertical="top" textRotation="255" wrapText="1"/>
    </xf>
    <xf numFmtId="0" fontId="5" fillId="3" borderId="0" xfId="0" applyFont="1" applyFill="1" applyAlignment="1">
      <alignment vertical="top"/>
    </xf>
    <xf numFmtId="0" fontId="34" fillId="6" borderId="25" xfId="0" applyFont="1" applyFill="1" applyBorder="1" applyAlignment="1">
      <alignment vertical="center" wrapText="1"/>
    </xf>
    <xf numFmtId="0" fontId="34" fillId="6" borderId="30" xfId="0" applyFont="1" applyFill="1" applyBorder="1" applyAlignment="1">
      <alignment vertical="center"/>
    </xf>
    <xf numFmtId="0" fontId="34" fillId="6" borderId="36" xfId="0" applyFont="1" applyFill="1" applyBorder="1" applyAlignment="1">
      <alignment vertical="center"/>
    </xf>
    <xf numFmtId="0" fontId="59" fillId="6" borderId="25" xfId="0" applyFont="1" applyFill="1" applyBorder="1" applyAlignment="1">
      <alignment vertical="top" textRotation="255" wrapText="1"/>
    </xf>
    <xf numFmtId="0" fontId="59" fillId="6" borderId="30" xfId="0" applyFont="1" applyFill="1" applyBorder="1" applyAlignment="1">
      <alignment vertical="top" textRotation="255" wrapText="1"/>
    </xf>
    <xf numFmtId="0" fontId="59" fillId="6" borderId="36" xfId="0" applyFont="1" applyFill="1" applyBorder="1" applyAlignment="1">
      <alignment vertical="top" textRotation="255" wrapText="1"/>
    </xf>
    <xf numFmtId="0" fontId="78" fillId="6" borderId="25" xfId="0" applyFont="1" applyFill="1" applyBorder="1" applyAlignment="1">
      <alignment horizontal="center" vertical="top" textRotation="255" wrapText="1"/>
    </xf>
    <xf numFmtId="0" fontId="78" fillId="6" borderId="30" xfId="0" applyFont="1" applyFill="1" applyBorder="1" applyAlignment="1">
      <alignment horizontal="center" vertical="top" textRotation="255" wrapText="1"/>
    </xf>
    <xf numFmtId="0" fontId="78" fillId="6" borderId="36" xfId="0" applyFont="1" applyFill="1" applyBorder="1" applyAlignment="1">
      <alignment horizontal="center" vertical="top" textRotation="255" wrapText="1"/>
    </xf>
    <xf numFmtId="0" fontId="5" fillId="3" borderId="0" xfId="0" applyFont="1" applyFill="1" applyAlignment="1">
      <alignment horizontal="left" vertical="top"/>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0"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4" fillId="0" borderId="95"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40"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79" xfId="0" applyFont="1" applyBorder="1" applyAlignment="1">
      <alignment horizontal="justify" vertical="center" wrapText="1"/>
    </xf>
    <xf numFmtId="0" fontId="4" fillId="0" borderId="80" xfId="0" applyFont="1" applyBorder="1" applyAlignment="1">
      <alignment horizontal="justify" vertical="center" wrapText="1"/>
    </xf>
    <xf numFmtId="0" fontId="4" fillId="0" borderId="81"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00" xfId="0" applyFont="1" applyBorder="1" applyAlignment="1">
      <alignment horizontal="center" vertical="center" wrapText="1"/>
    </xf>
    <xf numFmtId="0" fontId="4" fillId="0" borderId="101" xfId="0" applyFont="1" applyBorder="1" applyAlignment="1">
      <alignment horizontal="center" vertical="center" wrapText="1"/>
    </xf>
    <xf numFmtId="0" fontId="4" fillId="0" borderId="101" xfId="0" applyFont="1" applyBorder="1" applyAlignment="1">
      <alignment horizontal="left" vertical="center" wrapText="1"/>
    </xf>
    <xf numFmtId="0" fontId="4" fillId="0" borderId="103"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0"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93" xfId="0" applyFont="1" applyBorder="1" applyAlignment="1">
      <alignment horizontal="left" vertical="center" wrapText="1"/>
    </xf>
    <xf numFmtId="0" fontId="4" fillId="0" borderId="94" xfId="0" applyFont="1" applyBorder="1" applyAlignment="1">
      <alignment horizontal="left" vertical="center" wrapText="1"/>
    </xf>
    <xf numFmtId="0" fontId="4" fillId="0" borderId="95" xfId="0" applyFont="1" applyBorder="1" applyAlignment="1">
      <alignment horizontal="left" vertical="center" wrapText="1"/>
    </xf>
    <xf numFmtId="0" fontId="5" fillId="0" borderId="2" xfId="0" applyFont="1" applyBorder="1" applyAlignment="1">
      <alignment horizontal="left" vertical="center" wrapText="1"/>
    </xf>
    <xf numFmtId="0" fontId="4" fillId="0" borderId="80" xfId="0" applyFont="1" applyBorder="1" applyAlignment="1">
      <alignment horizontal="left" vertical="center" wrapText="1"/>
    </xf>
    <xf numFmtId="0" fontId="4" fillId="0" borderId="81" xfId="0" applyFont="1" applyBorder="1" applyAlignment="1">
      <alignment horizontal="left" vertical="center" wrapText="1"/>
    </xf>
    <xf numFmtId="0" fontId="4" fillId="0" borderId="3" xfId="0" applyFont="1" applyBorder="1" applyAlignment="1">
      <alignment horizontal="left" wrapText="1"/>
    </xf>
    <xf numFmtId="0" fontId="4"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84" xfId="0" applyBorder="1" applyAlignment="1">
      <alignment horizontal="left" wrapText="1"/>
    </xf>
    <xf numFmtId="0" fontId="4" fillId="0" borderId="10" xfId="0" applyFont="1" applyBorder="1" applyAlignment="1">
      <alignment horizontal="center" wrapText="1"/>
    </xf>
    <xf numFmtId="0" fontId="4" fillId="0" borderId="84" xfId="0" applyFont="1" applyBorder="1" applyAlignment="1">
      <alignment horizontal="center" wrapText="1"/>
    </xf>
    <xf numFmtId="0" fontId="4" fillId="0" borderId="1" xfId="0" applyFont="1" applyBorder="1" applyAlignment="1">
      <alignment horizontal="left" wrapText="1"/>
    </xf>
    <xf numFmtId="0" fontId="4" fillId="0" borderId="106"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16" xfId="0" applyFont="1" applyBorder="1" applyAlignment="1">
      <alignment horizontal="left" wrapText="1"/>
    </xf>
    <xf numFmtId="0" fontId="4" fillId="0" borderId="111" xfId="0" applyFont="1" applyBorder="1" applyAlignment="1">
      <alignment horizontal="center" vertical="center"/>
    </xf>
    <xf numFmtId="0" fontId="4" fillId="0" borderId="107" xfId="0" applyFont="1" applyBorder="1" applyAlignment="1">
      <alignment horizontal="center" vertical="center"/>
    </xf>
    <xf numFmtId="0" fontId="4" fillId="0" borderId="110" xfId="0" applyFont="1" applyBorder="1" applyAlignment="1">
      <alignment horizontal="center" vertical="center"/>
    </xf>
    <xf numFmtId="0" fontId="4" fillId="0" borderId="111" xfId="0" applyFont="1" applyBorder="1" applyAlignment="1">
      <alignment horizontal="center"/>
    </xf>
    <xf numFmtId="0" fontId="4" fillId="0" borderId="107" xfId="0" applyFont="1" applyBorder="1" applyAlignment="1">
      <alignment horizontal="center"/>
    </xf>
    <xf numFmtId="0" fontId="4" fillId="0" borderId="110"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105" xfId="0" applyBorder="1" applyAlignment="1">
      <alignment horizontal="left" shrinkToFit="1"/>
    </xf>
    <xf numFmtId="0" fontId="4" fillId="0" borderId="22" xfId="0" applyFont="1" applyBorder="1" applyAlignment="1">
      <alignment horizontal="center" wrapText="1"/>
    </xf>
    <xf numFmtId="0" fontId="4" fillId="0" borderId="8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3" xfId="0" applyFont="1" applyBorder="1" applyAlignment="1">
      <alignment horizontal="center"/>
    </xf>
    <xf numFmtId="0" fontId="4" fillId="0" borderId="24" xfId="0" applyFont="1" applyBorder="1" applyAlignment="1">
      <alignment horizontal="center"/>
    </xf>
    <xf numFmtId="0" fontId="4" fillId="0" borderId="107" xfId="0" applyFont="1" applyBorder="1" applyAlignment="1">
      <alignment horizontal="left" wrapText="1"/>
    </xf>
    <xf numFmtId="0" fontId="0" fillId="0" borderId="107" xfId="0" applyBorder="1" applyAlignment="1">
      <alignment horizontal="left" wrapText="1"/>
    </xf>
    <xf numFmtId="0" fontId="0" fillId="0" borderId="108" xfId="0" applyBorder="1" applyAlignment="1">
      <alignment horizontal="left" wrapText="1"/>
    </xf>
    <xf numFmtId="0" fontId="4" fillId="0" borderId="109" xfId="0" applyFont="1" applyBorder="1" applyAlignment="1">
      <alignment horizontal="center" wrapText="1"/>
    </xf>
    <xf numFmtId="0" fontId="4" fillId="0" borderId="108" xfId="0" applyFont="1" applyBorder="1" applyAlignment="1">
      <alignment horizontal="center" wrapText="1"/>
    </xf>
    <xf numFmtId="0" fontId="4" fillId="0" borderId="107" xfId="0" applyFont="1" applyBorder="1" applyAlignment="1">
      <alignment horizontal="center" wrapText="1"/>
    </xf>
    <xf numFmtId="0" fontId="4" fillId="0" borderId="110" xfId="0" applyFont="1" applyBorder="1" applyAlignment="1">
      <alignment horizontal="center" wrapText="1"/>
    </xf>
    <xf numFmtId="0" fontId="5" fillId="0" borderId="107" xfId="0" applyFont="1" applyBorder="1" applyAlignment="1">
      <alignment horizontal="left" vertical="center" wrapText="1"/>
    </xf>
    <xf numFmtId="0" fontId="5" fillId="0" borderId="110"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84" xfId="0" applyBorder="1" applyAlignment="1">
      <alignment horizontal="left" shrinkToFit="1"/>
    </xf>
    <xf numFmtId="0" fontId="4" fillId="0" borderId="84"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40"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5" xfId="0" applyFont="1" applyBorder="1" applyAlignment="1">
      <alignment horizontal="left" wrapText="1"/>
    </xf>
    <xf numFmtId="0" fontId="4" fillId="0" borderId="104" xfId="0" applyFont="1" applyBorder="1" applyAlignment="1">
      <alignment horizontal="left" wrapText="1"/>
    </xf>
    <xf numFmtId="0" fontId="4" fillId="0" borderId="4" xfId="0" applyFont="1" applyBorder="1" applyAlignment="1">
      <alignment horizontal="center" wrapText="1"/>
    </xf>
    <xf numFmtId="0" fontId="4" fillId="0" borderId="85" xfId="0" applyFont="1" applyBorder="1" applyAlignment="1">
      <alignment horizontal="center" wrapText="1"/>
    </xf>
    <xf numFmtId="0" fontId="4" fillId="0" borderId="5" xfId="0" applyFont="1" applyBorder="1" applyAlignment="1">
      <alignment horizontal="center" wrapText="1"/>
    </xf>
    <xf numFmtId="0" fontId="4" fillId="0" borderId="105" xfId="0" applyFont="1" applyBorder="1" applyAlignment="1">
      <alignment horizontal="center" wrapText="1"/>
    </xf>
    <xf numFmtId="0" fontId="4" fillId="0" borderId="20" xfId="0" applyFont="1" applyBorder="1" applyAlignment="1">
      <alignment horizontal="left"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40" xfId="0" applyFont="1" applyBorder="1" applyAlignment="1">
      <alignment horizontal="center" vertical="center"/>
    </xf>
    <xf numFmtId="0" fontId="53" fillId="0" borderId="56" xfId="0" applyFont="1" applyBorder="1" applyAlignment="1">
      <alignment horizontal="center" vertical="top"/>
    </xf>
    <xf numFmtId="0" fontId="53" fillId="0" borderId="3" xfId="0" applyFont="1" applyBorder="1" applyAlignment="1">
      <alignment horizontal="left" vertical="top"/>
    </xf>
    <xf numFmtId="0" fontId="53" fillId="0" borderId="4" xfId="0" applyFont="1" applyBorder="1" applyAlignment="1">
      <alignment horizontal="left" vertical="top"/>
    </xf>
    <xf numFmtId="0" fontId="53"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53" fillId="0" borderId="6" xfId="0" applyFont="1" applyBorder="1" applyAlignment="1">
      <alignment horizontal="left" vertical="center"/>
    </xf>
    <xf numFmtId="0" fontId="53" fillId="0" borderId="7" xfId="0" applyFont="1" applyBorder="1" applyAlignment="1">
      <alignment horizontal="left" vertical="center"/>
    </xf>
    <xf numFmtId="0" fontId="53" fillId="0" borderId="8" xfId="0" applyFont="1" applyBorder="1" applyAlignment="1">
      <alignment horizontal="left" vertical="center"/>
    </xf>
    <xf numFmtId="0" fontId="53" fillId="0" borderId="16" xfId="0" applyFont="1" applyBorder="1" applyAlignment="1">
      <alignment horizontal="left" vertical="center"/>
    </xf>
    <xf numFmtId="0" fontId="53" fillId="0" borderId="5" xfId="0" applyFont="1" applyBorder="1" applyAlignment="1">
      <alignment horizontal="left" vertical="center"/>
    </xf>
    <xf numFmtId="0" fontId="53" fillId="0" borderId="15" xfId="0" applyFont="1" applyBorder="1" applyAlignment="1">
      <alignment horizontal="left" vertical="center"/>
    </xf>
    <xf numFmtId="0" fontId="53" fillId="0" borderId="3" xfId="0" applyFont="1" applyBorder="1" applyAlignment="1">
      <alignment horizontal="left" vertical="top" wrapText="1"/>
    </xf>
    <xf numFmtId="0" fontId="53" fillId="0" borderId="17" xfId="0" applyFont="1" applyBorder="1" applyAlignment="1">
      <alignment horizontal="left" vertical="top"/>
    </xf>
    <xf numFmtId="0" fontId="53" fillId="0" borderId="0" xfId="0" applyFont="1" applyAlignment="1">
      <alignment horizontal="left" vertical="top"/>
    </xf>
    <xf numFmtId="0" fontId="53" fillId="0" borderId="40" xfId="0" applyFont="1" applyBorder="1" applyAlignment="1">
      <alignment horizontal="left" vertical="top"/>
    </xf>
    <xf numFmtId="0" fontId="53" fillId="0" borderId="16" xfId="0" applyFont="1" applyBorder="1" applyAlignment="1">
      <alignment horizontal="left" vertical="top"/>
    </xf>
    <xf numFmtId="0" fontId="53" fillId="0" borderId="5" xfId="0" applyFont="1" applyBorder="1" applyAlignment="1">
      <alignment horizontal="left" vertical="top"/>
    </xf>
    <xf numFmtId="0" fontId="53"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40" xfId="0" applyBorder="1" applyAlignment="1">
      <alignment horizontal="left" vertical="top"/>
    </xf>
    <xf numFmtId="0" fontId="0" fillId="0" borderId="113" xfId="0" applyBorder="1" applyAlignment="1">
      <alignment horizontal="left" vertical="top"/>
    </xf>
    <xf numFmtId="0" fontId="0" fillId="0" borderId="114" xfId="0" applyBorder="1" applyAlignment="1">
      <alignment horizontal="left" vertical="top"/>
    </xf>
    <xf numFmtId="0" fontId="0" fillId="0" borderId="115" xfId="0" applyBorder="1" applyAlignment="1">
      <alignment horizontal="left" vertical="top"/>
    </xf>
    <xf numFmtId="0" fontId="53" fillId="0" borderId="111" xfId="0" applyFont="1" applyBorder="1" applyAlignment="1">
      <alignment horizontal="left" vertical="center"/>
    </xf>
    <xf numFmtId="0" fontId="53" fillId="0" borderId="107" xfId="0" applyFont="1" applyBorder="1" applyAlignment="1">
      <alignment horizontal="left" vertical="center"/>
    </xf>
    <xf numFmtId="0" fontId="53" fillId="0" borderId="110" xfId="0" applyFont="1" applyBorder="1" applyAlignment="1">
      <alignment horizontal="left" vertical="center"/>
    </xf>
    <xf numFmtId="0" fontId="53" fillId="0" borderId="21" xfId="0" applyFont="1" applyBorder="1" applyAlignment="1">
      <alignment horizontal="left" vertical="center"/>
    </xf>
    <xf numFmtId="0" fontId="53" fillId="0" borderId="23" xfId="0" applyFont="1" applyBorder="1" applyAlignment="1">
      <alignment horizontal="left" vertical="center"/>
    </xf>
    <xf numFmtId="0" fontId="53" fillId="0" borderId="24" xfId="0" applyFont="1" applyBorder="1" applyAlignment="1">
      <alignment horizontal="left" vertical="center"/>
    </xf>
    <xf numFmtId="0" fontId="53" fillId="0" borderId="3" xfId="0" applyFont="1" applyBorder="1" applyAlignment="1">
      <alignment horizontal="left" vertical="center"/>
    </xf>
    <xf numFmtId="0" fontId="53" fillId="0" borderId="4" xfId="0" applyFont="1" applyBorder="1" applyAlignment="1">
      <alignment horizontal="left" vertical="center"/>
    </xf>
    <xf numFmtId="0" fontId="53" fillId="0" borderId="1" xfId="0" applyFont="1" applyBorder="1" applyAlignment="1">
      <alignment horizontal="left" vertical="center"/>
    </xf>
    <xf numFmtId="0" fontId="53" fillId="0" borderId="0" xfId="0" applyFont="1" applyAlignment="1">
      <alignment horizontal="center" vertical="center"/>
    </xf>
    <xf numFmtId="0" fontId="53" fillId="0" borderId="0" xfId="0" applyFont="1" applyAlignment="1">
      <alignment horizontal="right" vertical="center"/>
    </xf>
    <xf numFmtId="0" fontId="53" fillId="0" borderId="6" xfId="0" applyFont="1" applyBorder="1" applyAlignment="1">
      <alignment horizontal="center" vertical="center"/>
    </xf>
    <xf numFmtId="0" fontId="53" fillId="0" borderId="7" xfId="0" applyFont="1" applyBorder="1" applyAlignment="1">
      <alignment horizontal="center" vertical="center"/>
    </xf>
    <xf numFmtId="0" fontId="53" fillId="0" borderId="8" xfId="0" applyFont="1" applyBorder="1" applyAlignment="1">
      <alignment horizontal="center" vertical="center"/>
    </xf>
    <xf numFmtId="0" fontId="58" fillId="2" borderId="6" xfId="0" applyFont="1" applyFill="1" applyBorder="1" applyAlignment="1">
      <alignment horizontal="left" vertical="center"/>
    </xf>
    <xf numFmtId="0" fontId="58" fillId="2" borderId="7" xfId="0" applyFont="1" applyFill="1" applyBorder="1" applyAlignment="1">
      <alignment horizontal="left" vertical="center"/>
    </xf>
    <xf numFmtId="0" fontId="58" fillId="2" borderId="8" xfId="0" applyFont="1" applyFill="1" applyBorder="1" applyAlignment="1">
      <alignment horizontal="left" vertical="center"/>
    </xf>
    <xf numFmtId="0" fontId="58" fillId="2" borderId="3" xfId="0" applyFont="1" applyFill="1" applyBorder="1" applyAlignment="1">
      <alignment horizontal="center" vertical="center"/>
    </xf>
    <xf numFmtId="0" fontId="58" fillId="2" borderId="4" xfId="0" applyFont="1" applyFill="1" applyBorder="1" applyAlignment="1">
      <alignment horizontal="center" vertical="center"/>
    </xf>
    <xf numFmtId="0" fontId="58" fillId="2" borderId="1" xfId="0" applyFont="1" applyFill="1" applyBorder="1" applyAlignment="1">
      <alignment horizontal="center" vertical="center"/>
    </xf>
    <xf numFmtId="0" fontId="58" fillId="2" borderId="100" xfId="0" applyFont="1" applyFill="1" applyBorder="1" applyAlignment="1">
      <alignment horizontal="center" vertical="center"/>
    </xf>
    <xf numFmtId="0" fontId="58" fillId="2" borderId="101" xfId="0" applyFont="1" applyFill="1" applyBorder="1" applyAlignment="1">
      <alignment horizontal="center" vertical="center"/>
    </xf>
    <xf numFmtId="0" fontId="58" fillId="2" borderId="103" xfId="0" applyFont="1" applyFill="1" applyBorder="1" applyAlignment="1">
      <alignment horizontal="center" vertical="center"/>
    </xf>
    <xf numFmtId="0" fontId="58" fillId="2" borderId="80" xfId="0" applyFont="1" applyFill="1" applyBorder="1" applyAlignment="1">
      <alignment horizontal="center" vertical="center"/>
    </xf>
    <xf numFmtId="0" fontId="58" fillId="2" borderId="0" xfId="0" applyFont="1" applyFill="1" applyAlignment="1">
      <alignment horizontal="center" vertical="center"/>
    </xf>
    <xf numFmtId="0" fontId="58" fillId="2" borderId="5" xfId="0" applyFont="1" applyFill="1" applyBorder="1" applyAlignment="1">
      <alignment horizontal="center" vertical="center"/>
    </xf>
    <xf numFmtId="0" fontId="25" fillId="0" borderId="26"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26" xfId="0" applyFont="1" applyBorder="1" applyAlignment="1">
      <alignment horizontal="center" vertical="center" shrinkToFi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75" xfId="0" applyFont="1" applyBorder="1" applyAlignment="1">
      <alignment horizontal="center" vertical="center"/>
    </xf>
    <xf numFmtId="0" fontId="25" fillId="0" borderId="76" xfId="0" applyFont="1" applyBorder="1" applyAlignment="1">
      <alignment horizontal="center" vertical="center" wrapText="1"/>
    </xf>
    <xf numFmtId="0" fontId="25" fillId="0" borderId="77" xfId="0" applyFont="1" applyBorder="1" applyAlignment="1">
      <alignment horizontal="center" vertical="center" wrapText="1"/>
    </xf>
    <xf numFmtId="0" fontId="25" fillId="0" borderId="78" xfId="0" applyFont="1" applyBorder="1" applyAlignment="1">
      <alignment horizontal="center" vertical="center" wrapText="1"/>
    </xf>
    <xf numFmtId="0" fontId="25"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36" xfId="0" applyBorder="1" applyAlignment="1">
      <alignment horizontal="center" vertical="center" wrapText="1"/>
    </xf>
    <xf numFmtId="0" fontId="25" fillId="0" borderId="30"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8" xfId="0" applyFont="1" applyBorder="1" applyAlignment="1">
      <alignment horizontal="center" vertical="center"/>
    </xf>
    <xf numFmtId="0" fontId="29" fillId="10" borderId="0" xfId="4" applyFill="1" applyAlignment="1">
      <alignment horizontal="center" vertical="center"/>
    </xf>
    <xf numFmtId="0" fontId="38" fillId="3" borderId="0" xfId="4" applyFont="1" applyFill="1" applyAlignment="1">
      <alignment horizontal="center" vertical="center"/>
    </xf>
    <xf numFmtId="0" fontId="29" fillId="10" borderId="5" xfId="4" applyFill="1" applyBorder="1" applyAlignment="1">
      <alignment horizontal="center" vertical="center" shrinkToFit="1"/>
    </xf>
    <xf numFmtId="0" fontId="29" fillId="10" borderId="7" xfId="4" applyFill="1" applyBorder="1" applyAlignment="1">
      <alignment horizontal="center" vertical="center" shrinkToFit="1"/>
    </xf>
    <xf numFmtId="0" fontId="30" fillId="3" borderId="0" xfId="4" applyFont="1" applyFill="1" applyAlignment="1">
      <alignment horizontal="left" vertical="center"/>
    </xf>
    <xf numFmtId="0" fontId="29" fillId="10" borderId="2" xfId="4" applyFill="1" applyBorder="1" applyAlignment="1">
      <alignment horizontal="center" vertical="center"/>
    </xf>
    <xf numFmtId="0" fontId="29" fillId="3" borderId="2" xfId="4" applyFill="1" applyBorder="1" applyAlignment="1">
      <alignment horizontal="center" vertical="center"/>
    </xf>
    <xf numFmtId="0" fontId="29" fillId="10" borderId="2" xfId="4" applyFill="1" applyBorder="1" applyAlignment="1">
      <alignment horizontal="center" vertical="center" shrinkToFit="1"/>
    </xf>
    <xf numFmtId="0" fontId="29" fillId="3" borderId="5" xfId="4" applyFill="1" applyBorder="1" applyAlignment="1">
      <alignment horizontal="left" vertical="center"/>
    </xf>
    <xf numFmtId="0" fontId="29" fillId="3" borderId="6" xfId="4" applyFill="1" applyBorder="1" applyAlignment="1">
      <alignment horizontal="center" vertical="center"/>
    </xf>
    <xf numFmtId="0" fontId="29" fillId="3" borderId="7" xfId="4" applyFill="1" applyBorder="1" applyAlignment="1">
      <alignment horizontal="center" vertical="center"/>
    </xf>
    <xf numFmtId="0" fontId="29" fillId="3" borderId="8" xfId="4" applyFill="1" applyBorder="1" applyAlignment="1">
      <alignment horizontal="center" vertical="center"/>
    </xf>
    <xf numFmtId="0" fontId="29" fillId="3" borderId="2" xfId="4" applyFill="1" applyBorder="1" applyAlignment="1">
      <alignment horizontal="center" vertical="center" wrapText="1"/>
    </xf>
    <xf numFmtId="0" fontId="54" fillId="3" borderId="2" xfId="4" applyFont="1" applyFill="1" applyBorder="1" applyAlignment="1">
      <alignment horizontal="center" vertical="top" wrapText="1"/>
    </xf>
    <xf numFmtId="0" fontId="29" fillId="3" borderId="2" xfId="4" applyFill="1" applyBorder="1" applyAlignment="1">
      <alignment horizontal="center" vertical="top" wrapText="1"/>
    </xf>
    <xf numFmtId="0" fontId="29" fillId="3" borderId="6" xfId="4" applyFill="1" applyBorder="1" applyAlignment="1">
      <alignment horizontal="center" vertical="center" wrapText="1"/>
    </xf>
    <xf numFmtId="0" fontId="29" fillId="3" borderId="7" xfId="4" applyFill="1" applyBorder="1" applyAlignment="1">
      <alignment horizontal="center" vertical="center" wrapText="1"/>
    </xf>
    <xf numFmtId="0" fontId="29" fillId="3" borderId="8" xfId="4" applyFill="1" applyBorder="1" applyAlignment="1">
      <alignment horizontal="center" vertical="center" wrapText="1"/>
    </xf>
    <xf numFmtId="177" fontId="40" fillId="10" borderId="2" xfId="3" applyNumberFormat="1" applyFont="1" applyFill="1" applyBorder="1" applyAlignment="1">
      <alignment horizontal="center" vertical="center"/>
    </xf>
    <xf numFmtId="0" fontId="29" fillId="3" borderId="25" xfId="4" applyFill="1" applyBorder="1" applyAlignment="1">
      <alignment horizontal="center" vertical="center"/>
    </xf>
    <xf numFmtId="0" fontId="29" fillId="3" borderId="36" xfId="4" applyFill="1" applyBorder="1" applyAlignment="1">
      <alignment horizontal="center" vertical="center"/>
    </xf>
    <xf numFmtId="179" fontId="40" fillId="3" borderId="3" xfId="4" applyNumberFormat="1" applyFont="1" applyFill="1" applyBorder="1" applyAlignment="1">
      <alignment horizontal="center" vertical="center"/>
    </xf>
    <xf numFmtId="179" fontId="40" fillId="3" borderId="4" xfId="4" applyNumberFormat="1" applyFont="1" applyFill="1" applyBorder="1" applyAlignment="1">
      <alignment horizontal="center" vertical="center"/>
    </xf>
    <xf numFmtId="179" fontId="40" fillId="3" borderId="1" xfId="4" applyNumberFormat="1" applyFont="1" applyFill="1" applyBorder="1" applyAlignment="1">
      <alignment horizontal="center" vertical="center"/>
    </xf>
    <xf numFmtId="179" fontId="40" fillId="3" borderId="16" xfId="4" applyNumberFormat="1" applyFont="1" applyFill="1" applyBorder="1" applyAlignment="1">
      <alignment horizontal="center" vertical="center"/>
    </xf>
    <xf numFmtId="179" fontId="40" fillId="3" borderId="5" xfId="4" applyNumberFormat="1" applyFont="1" applyFill="1" applyBorder="1" applyAlignment="1">
      <alignment horizontal="center" vertical="center"/>
    </xf>
    <xf numFmtId="179" fontId="40" fillId="3" borderId="15" xfId="4" applyNumberFormat="1" applyFont="1" applyFill="1" applyBorder="1" applyAlignment="1">
      <alignment horizontal="center" vertical="center"/>
    </xf>
    <xf numFmtId="0" fontId="29" fillId="0" borderId="25" xfId="4" applyBorder="1" applyAlignment="1">
      <alignment horizontal="center" vertical="center"/>
    </xf>
    <xf numFmtId="0" fontId="29" fillId="0" borderId="30" xfId="4" applyBorder="1" applyAlignment="1">
      <alignment horizontal="center" vertical="center"/>
    </xf>
    <xf numFmtId="0" fontId="29" fillId="0" borderId="36" xfId="4" applyBorder="1" applyAlignment="1">
      <alignment horizontal="center" vertical="center"/>
    </xf>
    <xf numFmtId="179" fontId="40" fillId="3" borderId="6" xfId="4" applyNumberFormat="1" applyFont="1" applyFill="1" applyBorder="1" applyAlignment="1">
      <alignment horizontal="center" vertical="center"/>
    </xf>
    <xf numFmtId="179" fontId="40" fillId="3" borderId="7" xfId="4" applyNumberFormat="1" applyFont="1" applyFill="1" applyBorder="1" applyAlignment="1">
      <alignment horizontal="center" vertical="center"/>
    </xf>
    <xf numFmtId="179" fontId="40" fillId="3" borderId="8" xfId="4" applyNumberFormat="1" applyFont="1" applyFill="1" applyBorder="1" applyAlignment="1">
      <alignment horizontal="center" vertical="center"/>
    </xf>
    <xf numFmtId="0" fontId="29" fillId="3" borderId="3" xfId="4" applyFill="1" applyBorder="1" applyAlignment="1">
      <alignment horizontal="center" vertical="center" wrapText="1"/>
    </xf>
    <xf numFmtId="0" fontId="29" fillId="3" borderId="4" xfId="4" applyFill="1" applyBorder="1" applyAlignment="1">
      <alignment horizontal="center" vertical="center" wrapText="1"/>
    </xf>
    <xf numFmtId="0" fontId="29" fillId="3" borderId="1" xfId="4" applyFill="1" applyBorder="1" applyAlignment="1">
      <alignment horizontal="center" vertical="center" wrapText="1"/>
    </xf>
    <xf numFmtId="178" fontId="40" fillId="8" borderId="3" xfId="1" applyNumberFormat="1" applyFont="1" applyFill="1" applyBorder="1" applyAlignment="1">
      <alignment horizontal="center" vertical="center"/>
    </xf>
    <xf numFmtId="178" fontId="40" fillId="8" borderId="4" xfId="1" applyNumberFormat="1" applyFont="1" applyFill="1" applyBorder="1" applyAlignment="1">
      <alignment horizontal="center" vertical="center"/>
    </xf>
    <xf numFmtId="178" fontId="40" fillId="8" borderId="1" xfId="1" applyNumberFormat="1" applyFont="1" applyFill="1" applyBorder="1" applyAlignment="1">
      <alignment horizontal="center" vertical="center"/>
    </xf>
    <xf numFmtId="178" fontId="40" fillId="8" borderId="16" xfId="1" applyNumberFormat="1" applyFont="1" applyFill="1" applyBorder="1" applyAlignment="1">
      <alignment horizontal="center" vertical="center"/>
    </xf>
    <xf numFmtId="178" fontId="40" fillId="8" borderId="5" xfId="1" applyNumberFormat="1" applyFont="1" applyFill="1" applyBorder="1" applyAlignment="1">
      <alignment horizontal="center" vertical="center"/>
    </xf>
    <xf numFmtId="178" fontId="40" fillId="8" borderId="15" xfId="1" applyNumberFormat="1" applyFont="1" applyFill="1" applyBorder="1" applyAlignment="1">
      <alignment horizontal="center" vertical="center"/>
    </xf>
    <xf numFmtId="0" fontId="29" fillId="3" borderId="16" xfId="4" applyFill="1" applyBorder="1" applyAlignment="1">
      <alignment horizontal="center" vertical="center"/>
    </xf>
    <xf numFmtId="0" fontId="29" fillId="3" borderId="5" xfId="4" applyFill="1" applyBorder="1" applyAlignment="1">
      <alignment horizontal="center" vertical="center"/>
    </xf>
    <xf numFmtId="0" fontId="29" fillId="3" borderId="15" xfId="4" applyFill="1" applyBorder="1" applyAlignment="1">
      <alignment horizontal="center" vertical="center"/>
    </xf>
    <xf numFmtId="0" fontId="29" fillId="3" borderId="0" xfId="4" applyFill="1" applyAlignment="1">
      <alignment horizontal="left" vertical="center"/>
    </xf>
    <xf numFmtId="0" fontId="29" fillId="3" borderId="0" xfId="4" applyFill="1" applyAlignment="1">
      <alignment horizontal="left" vertic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11" fillId="0" borderId="2" xfId="0" applyFont="1" applyBorder="1" applyAlignment="1">
      <alignment horizontal="center" vertical="center"/>
    </xf>
    <xf numFmtId="0" fontId="4" fillId="0" borderId="0" xfId="0" applyFont="1" applyAlignment="1">
      <alignment horizontal="center" vertical="center" wrapText="1"/>
    </xf>
    <xf numFmtId="1" fontId="4" fillId="2" borderId="6" xfId="0" applyNumberFormat="1" applyFont="1" applyFill="1" applyBorder="1" applyAlignment="1">
      <alignment horizontal="center" vertical="center"/>
    </xf>
    <xf numFmtId="1" fontId="4" fillId="2" borderId="7" xfId="0" applyNumberFormat="1" applyFont="1" applyFill="1" applyBorder="1" applyAlignment="1">
      <alignment horizontal="center" vertical="center"/>
    </xf>
    <xf numFmtId="0" fontId="11" fillId="0" borderId="8" xfId="0" applyFont="1" applyBorder="1" applyAlignment="1">
      <alignment horizontal="center" vertical="center"/>
    </xf>
    <xf numFmtId="0" fontId="11" fillId="0" borderId="6" xfId="0" applyFont="1" applyBorder="1" applyAlignment="1">
      <alignment horizontal="center" vertical="center"/>
    </xf>
    <xf numFmtId="0" fontId="11" fillId="0" borderId="36" xfId="0" applyFont="1" applyBorder="1" applyAlignment="1">
      <alignment horizontal="center" vertical="center"/>
    </xf>
    <xf numFmtId="0" fontId="4" fillId="0" borderId="0" xfId="0" applyFont="1" applyAlignment="1">
      <alignment vertical="center" wrapText="1"/>
    </xf>
    <xf numFmtId="0" fontId="4" fillId="0" borderId="2" xfId="0" applyFont="1" applyBorder="1" applyAlignment="1">
      <alignment horizontal="left"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40"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5" fillId="0" borderId="6"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40" xfId="0" applyFont="1" applyBorder="1" applyAlignment="1">
      <alignment horizontal="left" vertical="top"/>
    </xf>
    <xf numFmtId="0" fontId="25" fillId="0" borderId="6" xfId="0" applyFont="1" applyBorder="1" applyAlignment="1">
      <alignment vertical="center" wrapText="1"/>
    </xf>
    <xf numFmtId="0" fontId="25" fillId="0" borderId="7" xfId="0" applyFont="1" applyBorder="1" applyAlignment="1">
      <alignment vertical="center" wrapText="1"/>
    </xf>
    <xf numFmtId="0" fontId="10" fillId="0" borderId="0" xfId="0" applyFont="1" applyAlignment="1">
      <alignment horizontal="center" vertical="top" wrapText="1"/>
    </xf>
    <xf numFmtId="0" fontId="10" fillId="0" borderId="0" xfId="0" applyFont="1" applyAlignment="1">
      <alignment horizontal="center" vertical="top"/>
    </xf>
    <xf numFmtId="0" fontId="10" fillId="0" borderId="0" xfId="0" applyFont="1" applyAlignment="1">
      <alignment vertical="top" wrapText="1"/>
    </xf>
    <xf numFmtId="0" fontId="5" fillId="0" borderId="0" xfId="0" applyFont="1" applyAlignment="1">
      <alignment horizontal="center" vertical="center"/>
    </xf>
    <xf numFmtId="0" fontId="5" fillId="0" borderId="2" xfId="0" applyFont="1" applyBorder="1" applyAlignment="1">
      <alignment horizontal="left" vertical="center" shrinkToFit="1"/>
    </xf>
    <xf numFmtId="0" fontId="10"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7" xfId="0" applyFont="1" applyBorder="1" applyAlignment="1">
      <alignment vertical="center"/>
    </xf>
    <xf numFmtId="0" fontId="4" fillId="0" borderId="8" xfId="0" applyFont="1" applyBorder="1" applyAlignment="1">
      <alignment vertical="center"/>
    </xf>
    <xf numFmtId="0" fontId="4" fillId="0" borderId="6"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0" fillId="0" borderId="0" xfId="0" applyFont="1" applyAlignment="1">
      <alignment horizontal="left" vertical="center" shrinkToFit="1"/>
    </xf>
    <xf numFmtId="0" fontId="4" fillId="0" borderId="0" xfId="0" applyFont="1" applyAlignment="1">
      <alignment horizontal="center" vertical="center" shrinkToFit="1"/>
    </xf>
    <xf numFmtId="0" fontId="4" fillId="0" borderId="5" xfId="0" applyFont="1" applyBorder="1" applyAlignment="1">
      <alignment horizontal="left" vertical="center" shrinkToFit="1"/>
    </xf>
    <xf numFmtId="0" fontId="11" fillId="0" borderId="7"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4" fillId="0" borderId="2" xfId="0" applyFont="1" applyBorder="1" applyAlignment="1">
      <alignment horizontal="center" vertical="center" wrapText="1"/>
    </xf>
    <xf numFmtId="0" fontId="25"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7" applyFont="1" applyFill="1" applyBorder="1" applyAlignment="1">
      <alignment horizontal="center" vertical="center"/>
    </xf>
    <xf numFmtId="38" fontId="4" fillId="0" borderId="2" xfId="7" applyFont="1" applyFill="1" applyBorder="1" applyAlignment="1">
      <alignment horizontal="center" vertical="center" wrapText="1"/>
    </xf>
    <xf numFmtId="182" fontId="4" fillId="0" borderId="4" xfId="6" applyNumberFormat="1" applyFont="1" applyBorder="1" applyAlignment="1">
      <alignment horizontal="center" vertical="center"/>
    </xf>
    <xf numFmtId="182" fontId="4" fillId="0" borderId="5" xfId="6" applyNumberFormat="1" applyFont="1" applyBorder="1" applyAlignment="1">
      <alignment horizontal="center" vertical="center"/>
    </xf>
    <xf numFmtId="182" fontId="4" fillId="0" borderId="1" xfId="6" applyNumberFormat="1" applyFont="1" applyBorder="1" applyAlignment="1">
      <alignment horizontal="center" vertical="center"/>
    </xf>
    <xf numFmtId="182" fontId="4" fillId="0" borderId="15" xfId="6" applyNumberFormat="1" applyFont="1" applyBorder="1" applyAlignment="1">
      <alignment horizontal="center" vertical="center"/>
    </xf>
    <xf numFmtId="0" fontId="10" fillId="0" borderId="0" xfId="0" applyFont="1" applyAlignment="1">
      <alignment horizontal="left" vertical="center"/>
    </xf>
    <xf numFmtId="182" fontId="4" fillId="0" borderId="6" xfId="6" applyNumberFormat="1" applyFont="1" applyBorder="1" applyAlignment="1">
      <alignment horizontal="center" vertical="center"/>
    </xf>
    <xf numFmtId="182" fontId="4" fillId="0" borderId="7" xfId="6" applyNumberFormat="1"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top"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2" xfId="0" applyFont="1" applyBorder="1" applyAlignment="1">
      <alignment horizontal="center"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8" xfId="0" applyFont="1" applyBorder="1" applyAlignment="1">
      <alignment horizontal="center" vertical="center"/>
    </xf>
    <xf numFmtId="0" fontId="8" fillId="0" borderId="17" xfId="0" applyFont="1" applyBorder="1" applyAlignment="1">
      <alignment horizontal="left" vertical="center" wrapText="1"/>
    </xf>
    <xf numFmtId="0" fontId="8" fillId="0" borderId="0" xfId="0" applyFont="1" applyAlignment="1">
      <alignment horizontal="left" vertical="center" wrapText="1"/>
    </xf>
    <xf numFmtId="0" fontId="8" fillId="0" borderId="40" xfId="0" applyFont="1" applyBorder="1" applyAlignment="1">
      <alignment horizontal="left" vertical="center" wrapText="1"/>
    </xf>
    <xf numFmtId="0" fontId="9" fillId="0" borderId="6" xfId="0" applyFont="1" applyBorder="1" applyAlignment="1">
      <alignment horizontal="left" vertical="center" wrapText="1" indent="1"/>
    </xf>
    <xf numFmtId="0" fontId="9" fillId="0" borderId="7" xfId="0" applyFont="1" applyBorder="1" applyAlignment="1">
      <alignment horizontal="left" vertical="center" wrapText="1" indent="1"/>
    </xf>
    <xf numFmtId="0" fontId="9" fillId="0" borderId="8" xfId="0" applyFont="1" applyBorder="1" applyAlignment="1">
      <alignment horizontal="left" vertical="center" wrapText="1" indent="1"/>
    </xf>
    <xf numFmtId="0" fontId="9" fillId="0" borderId="0" xfId="0" applyFont="1" applyAlignment="1">
      <alignment horizontal="left"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7" xfId="0" applyFont="1" applyBorder="1" applyAlignment="1">
      <alignment horizontal="center" vertical="center"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0" xfId="0" applyFont="1" applyAlignment="1">
      <alignment horizontal="left" vertical="center" wrapText="1"/>
    </xf>
    <xf numFmtId="0" fontId="11" fillId="0" borderId="0" xfId="0" applyFont="1" applyAlignment="1">
      <alignment horizontal="left" vertical="center" wrapText="1"/>
    </xf>
    <xf numFmtId="0" fontId="5" fillId="0" borderId="7" xfId="0" applyFont="1" applyBorder="1" applyAlignment="1">
      <alignment horizontal="center" vertical="center" wrapText="1"/>
    </xf>
    <xf numFmtId="0" fontId="5" fillId="0" borderId="2" xfId="0" applyFont="1" applyBorder="1" applyAlignment="1">
      <alignment horizontal="center" vertical="center"/>
    </xf>
    <xf numFmtId="0" fontId="5" fillId="0" borderId="6" xfId="0" applyFont="1" applyBorder="1" applyAlignment="1">
      <alignment horizontal="left" vertical="center" wrapText="1"/>
    </xf>
    <xf numFmtId="0" fontId="5" fillId="0" borderId="0" xfId="0" applyFont="1" applyAlignment="1">
      <alignment horizontal="left" wrapText="1"/>
    </xf>
    <xf numFmtId="0" fontId="5" fillId="0" borderId="40" xfId="0" applyFont="1" applyBorder="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40" xfId="0" applyFont="1" applyBorder="1" applyAlignment="1">
      <alignment horizontal="center" vertical="top" wrapText="1"/>
    </xf>
    <xf numFmtId="0" fontId="4" fillId="0" borderId="40" xfId="0" applyFont="1" applyBorder="1" applyAlignment="1">
      <alignment vertical="center" wrapText="1"/>
    </xf>
    <xf numFmtId="0" fontId="49" fillId="0" borderId="6" xfId="0" applyFont="1" applyBorder="1" applyAlignment="1">
      <alignment horizontal="center" vertical="center"/>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5" xfId="0" applyFont="1" applyBorder="1" applyAlignment="1">
      <alignment vertical="center"/>
    </xf>
    <xf numFmtId="0" fontId="4" fillId="0" borderId="15" xfId="0" applyFont="1" applyBorder="1" applyAlignment="1">
      <alignment vertical="center"/>
    </xf>
    <xf numFmtId="0" fontId="43" fillId="3" borderId="16" xfId="0" applyFont="1" applyFill="1" applyBorder="1" applyAlignment="1">
      <alignment horizontal="right" vertical="top" shrinkToFit="1"/>
    </xf>
    <xf numFmtId="0" fontId="23" fillId="3" borderId="5" xfId="0" applyFont="1" applyFill="1" applyBorder="1" applyAlignment="1">
      <alignment horizontal="right" vertical="top" shrinkToFit="1"/>
    </xf>
    <xf numFmtId="0" fontId="21" fillId="3" borderId="3" xfId="0" applyFont="1" applyFill="1" applyBorder="1" applyAlignment="1">
      <alignment vertical="center"/>
    </xf>
    <xf numFmtId="0" fontId="21" fillId="3" borderId="4" xfId="0" applyFont="1" applyFill="1" applyBorder="1" applyAlignment="1">
      <alignment vertical="center"/>
    </xf>
    <xf numFmtId="0" fontId="21" fillId="3" borderId="1" xfId="0" applyFont="1" applyFill="1" applyBorder="1" applyAlignment="1">
      <alignment vertical="center"/>
    </xf>
    <xf numFmtId="179" fontId="21" fillId="4" borderId="17" xfId="0" applyNumberFormat="1" applyFont="1" applyFill="1" applyBorder="1" applyAlignment="1">
      <alignment horizontal="right" vertical="center"/>
    </xf>
    <xf numFmtId="179" fontId="21" fillId="4" borderId="0" xfId="0" applyNumberFormat="1" applyFont="1" applyFill="1" applyAlignment="1">
      <alignment horizontal="right" vertical="center"/>
    </xf>
    <xf numFmtId="179" fontId="21" fillId="4" borderId="16" xfId="0" applyNumberFormat="1" applyFont="1" applyFill="1" applyBorder="1" applyAlignment="1">
      <alignment horizontal="right" vertical="center"/>
    </xf>
    <xf numFmtId="179" fontId="21" fillId="4" borderId="5" xfId="0" applyNumberFormat="1" applyFont="1" applyFill="1" applyBorder="1" applyAlignment="1">
      <alignment horizontal="right" vertical="center"/>
    </xf>
    <xf numFmtId="0" fontId="21" fillId="3" borderId="0" xfId="0" applyFont="1" applyFill="1" applyAlignment="1">
      <alignment vertical="center"/>
    </xf>
    <xf numFmtId="0" fontId="21" fillId="3" borderId="5" xfId="0" applyFont="1" applyFill="1" applyBorder="1" applyAlignment="1">
      <alignment vertical="center"/>
    </xf>
    <xf numFmtId="179" fontId="21" fillId="4" borderId="3" xfId="0" applyNumberFormat="1" applyFont="1" applyFill="1" applyBorder="1" applyAlignment="1">
      <alignment horizontal="right" vertical="center"/>
    </xf>
    <xf numFmtId="0" fontId="23" fillId="8" borderId="33" xfId="0" applyFont="1" applyFill="1" applyBorder="1" applyAlignment="1">
      <alignment horizontal="center" vertical="center"/>
    </xf>
    <xf numFmtId="0" fontId="23" fillId="3" borderId="34" xfId="0" applyFont="1" applyFill="1" applyBorder="1" applyAlignment="1">
      <alignment vertical="top" wrapText="1"/>
    </xf>
    <xf numFmtId="0" fontId="23" fillId="3" borderId="31" xfId="0" applyFont="1" applyFill="1" applyBorder="1" applyAlignment="1">
      <alignment vertical="top" wrapText="1"/>
    </xf>
    <xf numFmtId="0" fontId="23" fillId="3" borderId="32" xfId="0" applyFont="1" applyFill="1" applyBorder="1" applyAlignment="1">
      <alignment vertical="top" wrapText="1"/>
    </xf>
    <xf numFmtId="0" fontId="21" fillId="8" borderId="33" xfId="0" applyFont="1" applyFill="1" applyBorder="1" applyAlignment="1">
      <alignment horizontal="center" vertical="center" wrapText="1"/>
    </xf>
    <xf numFmtId="0" fontId="21" fillId="8" borderId="33" xfId="0" applyFont="1" applyFill="1" applyBorder="1" applyAlignment="1">
      <alignment horizontal="center" vertical="center"/>
    </xf>
    <xf numFmtId="0" fontId="21" fillId="8" borderId="52" xfId="0" applyFont="1" applyFill="1" applyBorder="1" applyAlignment="1">
      <alignment horizontal="center" vertical="center"/>
    </xf>
    <xf numFmtId="0" fontId="23" fillId="3" borderId="41" xfId="0" applyFont="1" applyFill="1" applyBorder="1" applyAlignment="1">
      <alignment vertical="top" wrapText="1"/>
    </xf>
    <xf numFmtId="0" fontId="23" fillId="3" borderId="35" xfId="0" applyFont="1" applyFill="1" applyBorder="1" applyAlignment="1">
      <alignment vertical="top" wrapText="1"/>
    </xf>
    <xf numFmtId="0" fontId="23" fillId="3" borderId="55" xfId="0" applyFont="1" applyFill="1" applyBorder="1" applyAlignment="1">
      <alignment vertical="top" wrapText="1"/>
    </xf>
    <xf numFmtId="0" fontId="43" fillId="8" borderId="33" xfId="0" applyFont="1" applyFill="1" applyBorder="1" applyAlignment="1">
      <alignment horizontal="center" vertical="center" wrapText="1"/>
    </xf>
    <xf numFmtId="0" fontId="43" fillId="8" borderId="52" xfId="0" applyFont="1" applyFill="1" applyBorder="1" applyAlignment="1">
      <alignment horizontal="center" vertical="center" wrapText="1"/>
    </xf>
    <xf numFmtId="0" fontId="23" fillId="8" borderId="51" xfId="0" applyFont="1" applyFill="1" applyBorder="1" applyAlignment="1">
      <alignment horizontal="center" vertical="center"/>
    </xf>
    <xf numFmtId="0" fontId="23" fillId="3" borderId="29" xfId="0" applyFont="1" applyFill="1" applyBorder="1" applyAlignment="1">
      <alignment vertical="top" wrapText="1"/>
    </xf>
    <xf numFmtId="0" fontId="23" fillId="3" borderId="27" xfId="0" applyFont="1" applyFill="1" applyBorder="1" applyAlignment="1">
      <alignment vertical="top" wrapText="1"/>
    </xf>
    <xf numFmtId="0" fontId="23" fillId="3" borderId="28" xfId="0" applyFont="1" applyFill="1" applyBorder="1" applyAlignment="1">
      <alignment vertical="top" wrapText="1"/>
    </xf>
    <xf numFmtId="0" fontId="21" fillId="8" borderId="51" xfId="0" applyFont="1" applyFill="1" applyBorder="1" applyAlignment="1">
      <alignment horizontal="center" vertical="center" wrapText="1"/>
    </xf>
    <xf numFmtId="0" fontId="21" fillId="4" borderId="3" xfId="0" applyFont="1" applyFill="1" applyBorder="1" applyAlignment="1">
      <alignment vertical="center"/>
    </xf>
    <xf numFmtId="0" fontId="21" fillId="4" borderId="4" xfId="0" applyFont="1" applyFill="1" applyBorder="1" applyAlignment="1">
      <alignment vertical="center"/>
    </xf>
    <xf numFmtId="0" fontId="21" fillId="4" borderId="17" xfId="0" applyFont="1" applyFill="1" applyBorder="1" applyAlignment="1">
      <alignment vertical="center"/>
    </xf>
    <xf numFmtId="0" fontId="21" fillId="4" borderId="0" xfId="0" applyFont="1" applyFill="1" applyAlignment="1">
      <alignment vertical="center"/>
    </xf>
    <xf numFmtId="0" fontId="21" fillId="3" borderId="40" xfId="0" applyFont="1" applyFill="1" applyBorder="1" applyAlignment="1">
      <alignment vertical="center"/>
    </xf>
    <xf numFmtId="0" fontId="23" fillId="3" borderId="15" xfId="0" applyFont="1" applyFill="1" applyBorder="1" applyAlignment="1">
      <alignment horizontal="right" vertical="top" shrinkToFit="1"/>
    </xf>
    <xf numFmtId="0" fontId="23" fillId="3" borderId="3" xfId="0" applyFont="1" applyFill="1" applyBorder="1" applyAlignment="1">
      <alignment horizontal="left" vertical="top" wrapText="1"/>
    </xf>
    <xf numFmtId="0" fontId="23" fillId="3" borderId="4" xfId="0" applyFont="1" applyFill="1" applyBorder="1" applyAlignment="1">
      <alignment horizontal="left" vertical="top" wrapText="1"/>
    </xf>
    <xf numFmtId="0" fontId="23" fillId="3" borderId="1" xfId="0" applyFont="1" applyFill="1" applyBorder="1" applyAlignment="1">
      <alignment horizontal="left" vertical="top" wrapText="1"/>
    </xf>
    <xf numFmtId="0" fontId="23" fillId="3" borderId="17" xfId="0" applyFont="1" applyFill="1" applyBorder="1" applyAlignment="1">
      <alignment horizontal="left" vertical="top" wrapText="1"/>
    </xf>
    <xf numFmtId="0" fontId="23" fillId="3" borderId="0" xfId="0" applyFont="1" applyFill="1" applyAlignment="1">
      <alignment horizontal="left" vertical="top" wrapText="1"/>
    </xf>
    <xf numFmtId="0" fontId="23" fillId="3" borderId="40" xfId="0" applyFont="1" applyFill="1" applyBorder="1" applyAlignment="1">
      <alignment horizontal="left" vertical="top" wrapText="1"/>
    </xf>
    <xf numFmtId="179" fontId="21" fillId="8" borderId="3" xfId="0" applyNumberFormat="1" applyFont="1" applyFill="1" applyBorder="1" applyAlignment="1">
      <alignment horizontal="right" vertical="center"/>
    </xf>
    <xf numFmtId="179" fontId="21" fillId="8" borderId="4" xfId="0" applyNumberFormat="1" applyFont="1" applyFill="1" applyBorder="1" applyAlignment="1">
      <alignment horizontal="right" vertical="center"/>
    </xf>
    <xf numFmtId="179" fontId="21" fillId="8" borderId="17" xfId="0" applyNumberFormat="1" applyFont="1" applyFill="1" applyBorder="1" applyAlignment="1">
      <alignment horizontal="right" vertical="center"/>
    </xf>
    <xf numFmtId="179" fontId="21" fillId="8" borderId="0" xfId="0" applyNumberFormat="1" applyFont="1" applyFill="1" applyAlignment="1">
      <alignment horizontal="right" vertical="center"/>
    </xf>
    <xf numFmtId="179" fontId="21" fillId="4" borderId="43" xfId="0" applyNumberFormat="1" applyFont="1" applyFill="1" applyBorder="1" applyAlignment="1">
      <alignment horizontal="right" vertical="center"/>
    </xf>
    <xf numFmtId="179" fontId="21" fillId="4" borderId="37" xfId="0" applyNumberFormat="1" applyFont="1" applyFill="1" applyBorder="1" applyAlignment="1">
      <alignment horizontal="right" vertical="center"/>
    </xf>
    <xf numFmtId="0" fontId="21" fillId="3" borderId="38" xfId="0" applyFont="1" applyFill="1" applyBorder="1" applyAlignment="1">
      <alignment vertical="center"/>
    </xf>
    <xf numFmtId="0" fontId="21" fillId="3" borderId="15" xfId="0" applyFont="1" applyFill="1" applyBorder="1" applyAlignment="1">
      <alignment vertical="center"/>
    </xf>
    <xf numFmtId="179" fontId="21" fillId="3" borderId="4" xfId="0" applyNumberFormat="1" applyFont="1" applyFill="1" applyBorder="1" applyAlignment="1">
      <alignment horizontal="right" vertical="center"/>
    </xf>
    <xf numFmtId="179" fontId="21" fillId="3" borderId="0" xfId="0" applyNumberFormat="1" applyFont="1" applyFill="1" applyAlignment="1">
      <alignment horizontal="right" vertical="center"/>
    </xf>
    <xf numFmtId="179" fontId="21" fillId="3" borderId="5" xfId="0" applyNumberFormat="1" applyFont="1" applyFill="1" applyBorder="1" applyAlignment="1">
      <alignment horizontal="right" vertical="center"/>
    </xf>
    <xf numFmtId="0" fontId="43" fillId="3" borderId="17" xfId="0" applyFont="1" applyFill="1" applyBorder="1" applyAlignment="1">
      <alignment horizontal="right" vertical="top" shrinkToFit="1"/>
    </xf>
    <xf numFmtId="0" fontId="23" fillId="3" borderId="0" xfId="0" applyFont="1" applyFill="1" applyAlignment="1">
      <alignment horizontal="right" vertical="top" shrinkToFit="1"/>
    </xf>
    <xf numFmtId="0" fontId="23" fillId="3" borderId="40" xfId="0" applyFont="1" applyFill="1" applyBorder="1" applyAlignment="1">
      <alignment horizontal="right" vertical="top" shrinkToFit="1"/>
    </xf>
    <xf numFmtId="0" fontId="23" fillId="3" borderId="43" xfId="0" applyFont="1" applyFill="1" applyBorder="1" applyAlignment="1">
      <alignment vertical="top" wrapText="1"/>
    </xf>
    <xf numFmtId="0" fontId="23" fillId="3" borderId="37" xfId="0" applyFont="1" applyFill="1" applyBorder="1" applyAlignment="1">
      <alignment vertical="top" wrapText="1"/>
    </xf>
    <xf numFmtId="0" fontId="23" fillId="3" borderId="38" xfId="0" applyFont="1" applyFill="1" applyBorder="1" applyAlignment="1">
      <alignment vertical="top" wrapText="1"/>
    </xf>
    <xf numFmtId="0" fontId="23" fillId="3" borderId="17" xfId="0" applyFont="1" applyFill="1" applyBorder="1" applyAlignment="1">
      <alignment vertical="top" wrapText="1"/>
    </xf>
    <xf numFmtId="0" fontId="23" fillId="3" borderId="0" xfId="0" applyFont="1" applyFill="1" applyAlignment="1">
      <alignment vertical="top" wrapText="1"/>
    </xf>
    <xf numFmtId="0" fontId="23" fillId="3" borderId="40" xfId="0" applyFont="1" applyFill="1" applyBorder="1" applyAlignment="1">
      <alignment vertical="top" wrapText="1"/>
    </xf>
    <xf numFmtId="0" fontId="21" fillId="4" borderId="17" xfId="0" applyFont="1" applyFill="1" applyBorder="1" applyAlignment="1">
      <alignment horizontal="right" vertical="center"/>
    </xf>
    <xf numFmtId="0" fontId="23" fillId="8" borderId="34" xfId="0" applyFont="1" applyFill="1" applyBorder="1" applyAlignment="1">
      <alignment horizontal="center" vertical="center"/>
    </xf>
    <xf numFmtId="0" fontId="23" fillId="8" borderId="41" xfId="0" applyFont="1" applyFill="1" applyBorder="1" applyAlignment="1">
      <alignment horizontal="center" vertical="center"/>
    </xf>
    <xf numFmtId="0" fontId="43" fillId="3" borderId="16" xfId="0" applyFont="1" applyFill="1" applyBorder="1" applyAlignment="1">
      <alignment horizontal="right" vertical="top" wrapText="1"/>
    </xf>
    <xf numFmtId="0" fontId="43" fillId="3" borderId="5" xfId="0" applyFont="1" applyFill="1" applyBorder="1" applyAlignment="1">
      <alignment horizontal="right" vertical="top" wrapText="1"/>
    </xf>
    <xf numFmtId="179" fontId="21" fillId="3" borderId="17" xfId="0" applyNumberFormat="1" applyFont="1" applyFill="1" applyBorder="1" applyAlignment="1">
      <alignment horizontal="right" vertical="center"/>
    </xf>
    <xf numFmtId="179" fontId="21" fillId="4" borderId="4" xfId="0" applyNumberFormat="1" applyFont="1" applyFill="1" applyBorder="1" applyAlignment="1">
      <alignment horizontal="right" vertical="center"/>
    </xf>
    <xf numFmtId="179" fontId="21" fillId="3" borderId="17" xfId="0" applyNumberFormat="1" applyFont="1" applyFill="1" applyBorder="1" applyAlignment="1">
      <alignment horizontal="center" vertical="center"/>
    </xf>
    <xf numFmtId="179" fontId="21" fillId="3" borderId="0" xfId="0" applyNumberFormat="1" applyFont="1" applyFill="1" applyAlignment="1">
      <alignment horizontal="center" vertical="center"/>
    </xf>
    <xf numFmtId="0" fontId="23" fillId="3" borderId="8" xfId="0" applyFont="1" applyFill="1" applyBorder="1" applyAlignment="1">
      <alignment vertical="top" wrapText="1"/>
    </xf>
    <xf numFmtId="0" fontId="23" fillId="3" borderId="2" xfId="0" applyFont="1" applyFill="1" applyBorder="1" applyAlignment="1">
      <alignment vertical="top" wrapText="1"/>
    </xf>
    <xf numFmtId="0" fontId="43" fillId="3" borderId="17" xfId="0" applyFont="1" applyFill="1" applyBorder="1" applyAlignment="1">
      <alignment horizontal="right" vertical="top" wrapText="1"/>
    </xf>
    <xf numFmtId="0" fontId="43" fillId="3" borderId="0" xfId="0" applyFont="1" applyFill="1" applyAlignment="1">
      <alignment horizontal="right" vertical="top" wrapText="1"/>
    </xf>
    <xf numFmtId="0" fontId="43" fillId="3" borderId="40" xfId="0" applyFont="1" applyFill="1" applyBorder="1" applyAlignment="1">
      <alignment horizontal="right" vertical="top" wrapText="1"/>
    </xf>
    <xf numFmtId="0" fontId="21" fillId="3" borderId="58" xfId="0" applyFont="1" applyFill="1" applyBorder="1" applyAlignment="1">
      <alignment horizontal="center" vertical="center"/>
    </xf>
    <xf numFmtId="0" fontId="21" fillId="3" borderId="59" xfId="0" applyFont="1" applyFill="1" applyBorder="1" applyAlignment="1">
      <alignment horizontal="center" vertical="center"/>
    </xf>
    <xf numFmtId="0" fontId="21" fillId="3" borderId="7" xfId="0" applyFont="1" applyFill="1" applyBorder="1" applyAlignment="1">
      <alignment horizontal="center" vertical="center"/>
    </xf>
    <xf numFmtId="0" fontId="21" fillId="6" borderId="3" xfId="0" applyFont="1" applyFill="1" applyBorder="1" applyAlignment="1">
      <alignment horizontal="center" vertical="center" shrinkToFit="1"/>
    </xf>
    <xf numFmtId="0" fontId="21" fillId="6" borderId="4" xfId="0" applyFont="1" applyFill="1" applyBorder="1" applyAlignment="1">
      <alignment horizontal="center" vertical="center" shrinkToFit="1"/>
    </xf>
    <xf numFmtId="0" fontId="21" fillId="6" borderId="1" xfId="0" applyFont="1" applyFill="1" applyBorder="1" applyAlignment="1">
      <alignment horizontal="center" vertical="center" shrinkToFit="1"/>
    </xf>
    <xf numFmtId="0" fontId="21" fillId="6" borderId="17" xfId="0" applyFont="1" applyFill="1" applyBorder="1" applyAlignment="1">
      <alignment horizontal="center" vertical="center" shrinkToFit="1"/>
    </xf>
    <xf numFmtId="0" fontId="21" fillId="6" borderId="0" xfId="0" applyFont="1" applyFill="1" applyAlignment="1">
      <alignment horizontal="center" vertical="center" shrinkToFit="1"/>
    </xf>
    <xf numFmtId="0" fontId="21" fillId="6" borderId="40" xfId="0" applyFont="1" applyFill="1" applyBorder="1" applyAlignment="1">
      <alignment horizontal="center" vertical="center" shrinkToFit="1"/>
    </xf>
    <xf numFmtId="0" fontId="21" fillId="6" borderId="16" xfId="0" applyFont="1" applyFill="1" applyBorder="1" applyAlignment="1">
      <alignment horizontal="center" vertical="center" shrinkToFit="1"/>
    </xf>
    <xf numFmtId="0" fontId="21" fillId="6" borderId="5" xfId="0" applyFont="1" applyFill="1" applyBorder="1" applyAlignment="1">
      <alignment horizontal="center" vertical="center" shrinkToFit="1"/>
    </xf>
    <xf numFmtId="0" fontId="21" fillId="6" borderId="15" xfId="0" applyFont="1" applyFill="1" applyBorder="1" applyAlignment="1">
      <alignment horizontal="center" vertical="center" shrinkToFit="1"/>
    </xf>
    <xf numFmtId="0" fontId="21" fillId="3" borderId="2"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7" xfId="0" applyFont="1" applyFill="1" applyBorder="1" applyAlignment="1">
      <alignment horizontal="left" vertical="center"/>
    </xf>
    <xf numFmtId="0" fontId="21" fillId="6" borderId="16" xfId="0" applyFont="1" applyFill="1" applyBorder="1" applyAlignment="1">
      <alignment horizontal="left" vertical="center" shrinkToFit="1"/>
    </xf>
    <xf numFmtId="0" fontId="21" fillId="6" borderId="15" xfId="0" applyFont="1" applyFill="1" applyBorder="1" applyAlignment="1">
      <alignment horizontal="left" vertical="center" shrinkToFit="1"/>
    </xf>
    <xf numFmtId="0" fontId="21" fillId="3" borderId="8" xfId="0" applyFont="1" applyFill="1" applyBorder="1" applyAlignment="1">
      <alignment horizontal="left" vertical="center"/>
    </xf>
    <xf numFmtId="0" fontId="21" fillId="3" borderId="3" xfId="0" applyFont="1" applyFill="1" applyBorder="1" applyAlignment="1">
      <alignment horizontal="center" vertical="center"/>
    </xf>
    <xf numFmtId="0" fontId="21" fillId="3" borderId="1" xfId="0" applyFont="1" applyFill="1" applyBorder="1" applyAlignment="1">
      <alignment horizontal="center" vertical="center"/>
    </xf>
    <xf numFmtId="0" fontId="22" fillId="3" borderId="0" xfId="0" applyFont="1" applyFill="1" applyAlignment="1">
      <alignment horizontal="center" vertical="center"/>
    </xf>
    <xf numFmtId="0" fontId="44" fillId="3" borderId="3" xfId="0" applyFont="1" applyFill="1" applyBorder="1" applyAlignment="1">
      <alignment horizontal="center" vertical="center" shrinkToFit="1"/>
    </xf>
    <xf numFmtId="0" fontId="44" fillId="3" borderId="1" xfId="0" applyFont="1" applyFill="1" applyBorder="1" applyAlignment="1">
      <alignment horizontal="center" vertical="center" shrinkToFit="1"/>
    </xf>
    <xf numFmtId="0" fontId="44" fillId="3" borderId="16" xfId="0" applyFont="1" applyFill="1" applyBorder="1" applyAlignment="1">
      <alignment horizontal="center" vertical="center" shrinkToFit="1"/>
    </xf>
    <xf numFmtId="0" fontId="44" fillId="3" borderId="15" xfId="0" applyFont="1" applyFill="1" applyBorder="1" applyAlignment="1">
      <alignment horizontal="center" vertical="center" shrinkToFit="1"/>
    </xf>
    <xf numFmtId="0" fontId="45" fillId="4" borderId="3" xfId="0" applyFont="1" applyFill="1" applyBorder="1" applyAlignment="1">
      <alignment horizontal="left" vertical="center" wrapText="1"/>
    </xf>
    <xf numFmtId="0" fontId="45" fillId="4" borderId="4" xfId="0" applyFont="1" applyFill="1" applyBorder="1" applyAlignment="1">
      <alignment horizontal="left" vertical="center" wrapText="1"/>
    </xf>
    <xf numFmtId="0" fontId="45" fillId="4" borderId="1" xfId="0" applyFont="1" applyFill="1" applyBorder="1" applyAlignment="1">
      <alignment horizontal="left" vertical="center" wrapText="1"/>
    </xf>
    <xf numFmtId="0" fontId="45" fillId="4" borderId="16" xfId="0" applyFont="1" applyFill="1" applyBorder="1" applyAlignment="1">
      <alignment horizontal="left" vertical="center" wrapText="1"/>
    </xf>
    <xf numFmtId="0" fontId="45" fillId="4" borderId="5" xfId="0" applyFont="1" applyFill="1" applyBorder="1" applyAlignment="1">
      <alignment horizontal="left" vertical="center" wrapText="1"/>
    </xf>
    <xf numFmtId="0" fontId="45" fillId="4" borderId="15" xfId="0" applyFont="1" applyFill="1" applyBorder="1" applyAlignment="1">
      <alignment horizontal="left" vertical="center" wrapText="1"/>
    </xf>
    <xf numFmtId="0" fontId="44" fillId="3" borderId="3" xfId="0" applyFont="1" applyFill="1" applyBorder="1" applyAlignment="1">
      <alignment vertical="center" shrinkToFit="1"/>
    </xf>
    <xf numFmtId="0" fontId="44" fillId="3" borderId="4" xfId="0" applyFont="1" applyFill="1" applyBorder="1" applyAlignment="1">
      <alignment vertical="center" shrinkToFit="1"/>
    </xf>
    <xf numFmtId="0" fontId="44" fillId="4" borderId="4" xfId="0" applyFont="1" applyFill="1" applyBorder="1" applyAlignment="1">
      <alignment horizontal="left" vertical="center" shrinkToFit="1"/>
    </xf>
    <xf numFmtId="0" fontId="44" fillId="4" borderId="1" xfId="0" applyFont="1" applyFill="1" applyBorder="1" applyAlignment="1">
      <alignment horizontal="left" vertical="center" shrinkToFit="1"/>
    </xf>
    <xf numFmtId="0" fontId="44" fillId="3" borderId="16" xfId="0" applyFont="1" applyFill="1" applyBorder="1" applyAlignment="1">
      <alignment vertical="center" shrinkToFit="1"/>
    </xf>
    <xf numFmtId="0" fontId="44" fillId="3" borderId="5" xfId="0" applyFont="1" applyFill="1" applyBorder="1" applyAlignment="1">
      <alignment vertical="center" shrinkToFit="1"/>
    </xf>
    <xf numFmtId="0" fontId="44" fillId="4" borderId="5" xfId="0" applyFont="1" applyFill="1" applyBorder="1" applyAlignment="1">
      <alignment horizontal="left" vertical="center" shrinkToFit="1"/>
    </xf>
    <xf numFmtId="0" fontId="44" fillId="4" borderId="15" xfId="0" applyFont="1" applyFill="1" applyBorder="1" applyAlignment="1">
      <alignment horizontal="left" vertical="center" shrinkToFit="1"/>
    </xf>
    <xf numFmtId="0" fontId="23" fillId="3" borderId="3" xfId="0" applyFont="1" applyFill="1" applyBorder="1" applyAlignment="1">
      <alignment vertical="top" wrapText="1"/>
    </xf>
    <xf numFmtId="0" fontId="23" fillId="3" borderId="4" xfId="0" applyFont="1" applyFill="1" applyBorder="1" applyAlignment="1">
      <alignment vertical="top" wrapText="1"/>
    </xf>
    <xf numFmtId="0" fontId="23" fillId="3" borderId="1" xfId="0" applyFont="1" applyFill="1" applyBorder="1" applyAlignment="1">
      <alignment vertical="top" wrapText="1"/>
    </xf>
    <xf numFmtId="0" fontId="23" fillId="3" borderId="49" xfId="0" applyFont="1" applyFill="1" applyBorder="1" applyAlignment="1">
      <alignment vertical="center" wrapText="1"/>
    </xf>
    <xf numFmtId="0" fontId="23" fillId="3" borderId="37" xfId="0" applyFont="1" applyFill="1" applyBorder="1" applyAlignment="1">
      <alignment vertical="center" wrapText="1"/>
    </xf>
    <xf numFmtId="0" fontId="23" fillId="3" borderId="60" xfId="0" applyFont="1" applyFill="1" applyBorder="1" applyAlignment="1">
      <alignment vertical="center" wrapText="1"/>
    </xf>
    <xf numFmtId="0" fontId="23" fillId="3" borderId="47" xfId="0" applyFont="1" applyFill="1" applyBorder="1" applyAlignment="1">
      <alignment vertical="center" wrapText="1"/>
    </xf>
    <xf numFmtId="0" fontId="23" fillId="3" borderId="0" xfId="0" applyFont="1" applyFill="1" applyAlignment="1">
      <alignment vertical="center" wrapText="1"/>
    </xf>
    <xf numFmtId="0" fontId="23" fillId="3" borderId="61" xfId="0" applyFont="1" applyFill="1" applyBorder="1" applyAlignment="1">
      <alignment vertical="center" wrapText="1"/>
    </xf>
    <xf numFmtId="0" fontId="23" fillId="3" borderId="50" xfId="0" applyFont="1" applyFill="1" applyBorder="1" applyAlignment="1">
      <alignment vertical="center" wrapText="1"/>
    </xf>
    <xf numFmtId="0" fontId="23" fillId="3" borderId="56" xfId="0" applyFont="1" applyFill="1" applyBorder="1" applyAlignment="1">
      <alignment vertical="center" wrapText="1"/>
    </xf>
    <xf numFmtId="0" fontId="23" fillId="3" borderId="62" xfId="0" applyFont="1" applyFill="1" applyBorder="1" applyAlignment="1">
      <alignment vertical="center" wrapText="1"/>
    </xf>
    <xf numFmtId="0" fontId="23" fillId="3" borderId="63" xfId="0" applyFont="1" applyFill="1" applyBorder="1" applyAlignment="1">
      <alignment vertical="center"/>
    </xf>
    <xf numFmtId="0" fontId="23" fillId="3" borderId="31" xfId="0" applyFont="1" applyFill="1" applyBorder="1" applyAlignment="1">
      <alignment vertical="center"/>
    </xf>
    <xf numFmtId="0" fontId="23" fillId="3" borderId="57" xfId="0" applyFont="1" applyFill="1" applyBorder="1" applyAlignment="1">
      <alignment vertical="center"/>
    </xf>
    <xf numFmtId="0" fontId="46" fillId="3" borderId="0" xfId="0" applyFont="1" applyFill="1" applyAlignment="1">
      <alignment vertical="center" wrapText="1"/>
    </xf>
    <xf numFmtId="0" fontId="46" fillId="3" borderId="5" xfId="0" applyFont="1" applyFill="1" applyBorder="1" applyAlignment="1">
      <alignment vertical="center" wrapText="1"/>
    </xf>
    <xf numFmtId="0" fontId="23" fillId="3" borderId="56" xfId="0" applyFont="1" applyFill="1" applyBorder="1" applyAlignment="1">
      <alignment vertical="center"/>
    </xf>
    <xf numFmtId="0" fontId="23" fillId="3" borderId="62" xfId="0" applyFont="1" applyFill="1" applyBorder="1" applyAlignment="1">
      <alignment vertical="center"/>
    </xf>
    <xf numFmtId="0" fontId="23" fillId="3" borderId="37" xfId="0" applyFont="1" applyFill="1" applyBorder="1" applyAlignment="1">
      <alignment vertical="center"/>
    </xf>
    <xf numFmtId="0" fontId="23" fillId="3" borderId="60" xfId="0" applyFont="1" applyFill="1" applyBorder="1" applyAlignment="1">
      <alignment vertical="center"/>
    </xf>
    <xf numFmtId="0" fontId="21" fillId="3" borderId="36" xfId="0" applyFont="1" applyFill="1" applyBorder="1" applyAlignment="1">
      <alignment vertical="center"/>
    </xf>
    <xf numFmtId="0" fontId="21" fillId="3" borderId="2" xfId="0" applyFont="1" applyFill="1" applyBorder="1" applyAlignment="1">
      <alignment vertical="center"/>
    </xf>
    <xf numFmtId="0" fontId="21" fillId="3" borderId="25" xfId="0" applyFont="1" applyFill="1" applyBorder="1" applyAlignment="1">
      <alignment vertical="center"/>
    </xf>
    <xf numFmtId="0" fontId="47" fillId="3" borderId="49" xfId="0" applyFont="1" applyFill="1" applyBorder="1" applyAlignment="1">
      <alignment vertical="center" wrapText="1"/>
    </xf>
    <xf numFmtId="0" fontId="47" fillId="3" borderId="37" xfId="0" applyFont="1" applyFill="1" applyBorder="1" applyAlignment="1">
      <alignment vertical="center" wrapText="1"/>
    </xf>
    <xf numFmtId="0" fontId="47" fillId="3" borderId="60" xfId="0" applyFont="1" applyFill="1" applyBorder="1" applyAlignment="1">
      <alignment vertical="center" wrapText="1"/>
    </xf>
    <xf numFmtId="0" fontId="47" fillId="3" borderId="47" xfId="0" applyFont="1" applyFill="1" applyBorder="1" applyAlignment="1">
      <alignment vertical="center" wrapText="1"/>
    </xf>
    <xf numFmtId="0" fontId="47" fillId="3" borderId="0" xfId="0" applyFont="1" applyFill="1" applyAlignment="1">
      <alignment vertical="center" wrapText="1"/>
    </xf>
    <xf numFmtId="0" fontId="47" fillId="3" borderId="61" xfId="0" applyFont="1" applyFill="1" applyBorder="1" applyAlignment="1">
      <alignment vertical="center" wrapText="1"/>
    </xf>
    <xf numFmtId="0" fontId="47" fillId="3" borderId="50" xfId="0" applyFont="1" applyFill="1" applyBorder="1" applyAlignment="1">
      <alignment vertical="center" wrapText="1"/>
    </xf>
    <xf numFmtId="0" fontId="47" fillId="3" borderId="56" xfId="0" applyFont="1" applyFill="1" applyBorder="1" applyAlignment="1">
      <alignment vertical="center" wrapText="1"/>
    </xf>
    <xf numFmtId="0" fontId="47" fillId="3" borderId="62" xfId="0" applyFont="1" applyFill="1" applyBorder="1" applyAlignment="1">
      <alignment vertical="center" wrapText="1"/>
    </xf>
    <xf numFmtId="0" fontId="21" fillId="3" borderId="49" xfId="0" applyFont="1" applyFill="1" applyBorder="1" applyAlignment="1">
      <alignment vertical="top" wrapText="1"/>
    </xf>
    <xf numFmtId="0" fontId="21" fillId="3" borderId="38" xfId="0" applyFont="1" applyFill="1" applyBorder="1" applyAlignment="1">
      <alignment vertical="top" wrapText="1"/>
    </xf>
    <xf numFmtId="0" fontId="23" fillId="3" borderId="43" xfId="0" applyFont="1" applyFill="1" applyBorder="1" applyAlignment="1">
      <alignment horizontal="left" vertical="top" shrinkToFit="1"/>
    </xf>
    <xf numFmtId="0" fontId="0" fillId="0" borderId="37" xfId="0" applyBorder="1" applyAlignment="1">
      <alignment horizontal="left" vertical="top" shrinkToFit="1"/>
    </xf>
    <xf numFmtId="0" fontId="0" fillId="0" borderId="38" xfId="0" applyBorder="1" applyAlignment="1">
      <alignment horizontal="left" vertical="top" shrinkToFit="1"/>
    </xf>
    <xf numFmtId="0" fontId="21" fillId="3" borderId="49" xfId="0" applyFont="1" applyFill="1" applyBorder="1" applyAlignment="1">
      <alignment vertical="center" wrapText="1"/>
    </xf>
    <xf numFmtId="0" fontId="0" fillId="0" borderId="38" xfId="0" applyBorder="1" applyAlignment="1">
      <alignment vertical="center" wrapText="1"/>
    </xf>
    <xf numFmtId="0" fontId="21" fillId="3" borderId="47" xfId="0" applyFont="1" applyFill="1" applyBorder="1" applyAlignment="1">
      <alignment vertical="center" wrapText="1"/>
    </xf>
    <xf numFmtId="0" fontId="0" fillId="0" borderId="40"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0" fillId="0" borderId="15" xfId="0" applyBorder="1" applyAlignment="1">
      <alignment vertical="center" wrapText="1"/>
    </xf>
    <xf numFmtId="0" fontId="23" fillId="3" borderId="25" xfId="0" applyFont="1" applyFill="1" applyBorder="1" applyAlignment="1">
      <alignment vertical="top" wrapText="1"/>
    </xf>
    <xf numFmtId="0" fontId="23" fillId="3" borderId="52" xfId="0" applyFont="1" applyFill="1" applyBorder="1" applyAlignment="1">
      <alignment vertical="top" wrapText="1"/>
    </xf>
    <xf numFmtId="0" fontId="23" fillId="3" borderId="36" xfId="0" applyFont="1" applyFill="1" applyBorder="1" applyAlignment="1">
      <alignment vertical="top" wrapText="1"/>
    </xf>
    <xf numFmtId="179" fontId="21" fillId="8" borderId="16" xfId="0" applyNumberFormat="1" applyFont="1" applyFill="1" applyBorder="1" applyAlignment="1">
      <alignment horizontal="right" vertical="center"/>
    </xf>
    <xf numFmtId="179" fontId="21" fillId="8" borderId="5" xfId="0" applyNumberFormat="1" applyFont="1" applyFill="1" applyBorder="1" applyAlignment="1">
      <alignment horizontal="right" vertical="center"/>
    </xf>
    <xf numFmtId="0" fontId="21" fillId="6" borderId="2" xfId="0" applyFont="1" applyFill="1" applyBorder="1" applyAlignment="1">
      <alignment horizontal="center" vertical="center" shrinkToFit="1"/>
    </xf>
    <xf numFmtId="0" fontId="14" fillId="3" borderId="7" xfId="5" applyFont="1" applyFill="1" applyBorder="1" applyAlignment="1">
      <alignment horizontal="left" vertical="center" wrapText="1"/>
    </xf>
    <xf numFmtId="0" fontId="14" fillId="3" borderId="8" xfId="5" applyFont="1" applyFill="1" applyBorder="1" applyAlignment="1">
      <alignment horizontal="left" vertical="center" wrapText="1"/>
    </xf>
    <xf numFmtId="0" fontId="14" fillId="3" borderId="0" xfId="5" applyFont="1" applyFill="1" applyAlignment="1">
      <alignment vertical="top" wrapText="1"/>
    </xf>
    <xf numFmtId="0" fontId="14" fillId="3" borderId="0" xfId="2" applyNumberFormat="1" applyFont="1" applyFill="1" applyAlignment="1">
      <alignment vertical="center"/>
    </xf>
    <xf numFmtId="0" fontId="14" fillId="3" borderId="0" xfId="2" applyNumberFormat="1" applyFont="1" applyFill="1" applyBorder="1" applyAlignment="1">
      <alignment horizontal="left" vertical="center"/>
    </xf>
    <xf numFmtId="0" fontId="33" fillId="3" borderId="0" xfId="5" applyFont="1" applyFill="1" applyAlignment="1">
      <alignment horizontal="left" vertical="center" shrinkToFit="1"/>
    </xf>
    <xf numFmtId="0" fontId="14" fillId="4" borderId="58" xfId="0" applyFont="1" applyFill="1" applyBorder="1" applyAlignment="1">
      <alignment horizontal="center" vertical="center"/>
    </xf>
    <xf numFmtId="0" fontId="14" fillId="4" borderId="45" xfId="0" applyFont="1" applyFill="1" applyBorder="1" applyAlignment="1">
      <alignment horizontal="center" vertical="center"/>
    </xf>
    <xf numFmtId="0" fontId="14" fillId="3" borderId="0" xfId="5" applyFont="1" applyFill="1" applyAlignment="1">
      <alignment horizontal="left" vertical="top" wrapText="1"/>
    </xf>
    <xf numFmtId="0" fontId="14" fillId="3" borderId="64" xfId="2" applyNumberFormat="1" applyFont="1" applyFill="1" applyBorder="1" applyAlignment="1">
      <alignment horizontal="center" vertical="center"/>
    </xf>
    <xf numFmtId="0" fontId="14" fillId="3" borderId="65" xfId="2" applyNumberFormat="1" applyFont="1" applyFill="1" applyBorder="1" applyAlignment="1">
      <alignment horizontal="center" vertical="center"/>
    </xf>
    <xf numFmtId="0" fontId="14" fillId="3" borderId="66" xfId="5" applyFont="1" applyFill="1" applyBorder="1" applyAlignment="1">
      <alignment horizontal="center" vertical="center" shrinkToFit="1"/>
    </xf>
    <xf numFmtId="0" fontId="14" fillId="3" borderId="2" xfId="5" applyFont="1" applyFill="1" applyBorder="1" applyAlignment="1">
      <alignment horizontal="center" vertical="center" shrinkToFit="1"/>
    </xf>
    <xf numFmtId="0" fontId="14" fillId="4" borderId="7" xfId="5" applyFont="1" applyFill="1" applyBorder="1" applyAlignment="1">
      <alignment horizontal="center" vertical="center" shrinkToFit="1"/>
    </xf>
    <xf numFmtId="0" fontId="14" fillId="3" borderId="71" xfId="2" applyNumberFormat="1" applyFont="1" applyFill="1" applyBorder="1" applyAlignment="1">
      <alignment horizontal="center" vertical="center" shrinkToFit="1"/>
    </xf>
    <xf numFmtId="0" fontId="14" fillId="3" borderId="2" xfId="2" applyNumberFormat="1" applyFont="1" applyFill="1" applyBorder="1" applyAlignment="1">
      <alignment horizontal="center" vertical="center"/>
    </xf>
    <xf numFmtId="0" fontId="14" fillId="3" borderId="72" xfId="2" applyNumberFormat="1" applyFont="1" applyFill="1" applyBorder="1" applyAlignment="1">
      <alignment horizontal="center" vertical="center"/>
    </xf>
    <xf numFmtId="0" fontId="14" fillId="3" borderId="71" xfId="2" applyNumberFormat="1" applyFont="1" applyFill="1" applyBorder="1" applyAlignment="1">
      <alignment horizontal="center" vertical="center"/>
    </xf>
    <xf numFmtId="0" fontId="14" fillId="3" borderId="73" xfId="2" applyNumberFormat="1" applyFont="1" applyFill="1" applyBorder="1" applyAlignment="1">
      <alignment horizontal="center" vertical="center"/>
    </xf>
    <xf numFmtId="0" fontId="14" fillId="3" borderId="66" xfId="5" applyFont="1" applyFill="1" applyBorder="1" applyAlignment="1">
      <alignment horizontal="right" vertical="center"/>
    </xf>
    <xf numFmtId="0" fontId="14" fillId="3" borderId="2" xfId="5" applyFont="1" applyFill="1" applyBorder="1" applyAlignment="1">
      <alignment horizontal="right" vertical="center"/>
    </xf>
    <xf numFmtId="0" fontId="14" fillId="3" borderId="0" xfId="5" applyFont="1" applyFill="1" applyAlignment="1">
      <alignment horizontal="right" vertical="center"/>
    </xf>
    <xf numFmtId="0" fontId="14" fillId="3" borderId="0" xfId="0" applyFont="1" applyFill="1" applyAlignment="1">
      <alignment horizontal="right" vertical="center"/>
    </xf>
    <xf numFmtId="0" fontId="14" fillId="4" borderId="6" xfId="5" applyFont="1" applyFill="1" applyBorder="1" applyAlignment="1">
      <alignment horizontal="center" vertical="center" shrinkToFit="1"/>
    </xf>
    <xf numFmtId="0" fontId="14" fillId="3" borderId="7" xfId="5" applyFont="1" applyFill="1" applyBorder="1" applyAlignment="1">
      <alignment horizontal="center" vertical="center" shrinkToFit="1"/>
    </xf>
    <xf numFmtId="0" fontId="14" fillId="3" borderId="0" xfId="5" applyFont="1" applyFill="1" applyAlignment="1">
      <alignment vertical="top"/>
    </xf>
    <xf numFmtId="180" fontId="14" fillId="8" borderId="67" xfId="0" applyNumberFormat="1" applyFont="1" applyFill="1" applyBorder="1" applyAlignment="1">
      <alignment horizontal="center" vertical="center"/>
    </xf>
    <xf numFmtId="0" fontId="14" fillId="8" borderId="68" xfId="0" applyFont="1" applyFill="1" applyBorder="1" applyAlignment="1">
      <alignment horizontal="center" vertical="center"/>
    </xf>
    <xf numFmtId="0" fontId="14" fillId="8" borderId="69" xfId="0" applyFont="1" applyFill="1" applyBorder="1" applyAlignment="1">
      <alignment horizontal="center" vertical="center"/>
    </xf>
    <xf numFmtId="0" fontId="14" fillId="8" borderId="67" xfId="5" applyFont="1" applyFill="1" applyBorder="1" applyAlignment="1">
      <alignment horizontal="center" vertical="center"/>
    </xf>
    <xf numFmtId="0" fontId="14" fillId="8" borderId="68" xfId="5" applyFont="1" applyFill="1" applyBorder="1" applyAlignment="1">
      <alignment horizontal="center" vertical="center"/>
    </xf>
    <xf numFmtId="0" fontId="14" fillId="8" borderId="69" xfId="5" applyFont="1" applyFill="1" applyBorder="1" applyAlignment="1">
      <alignment horizontal="center" vertical="center"/>
    </xf>
    <xf numFmtId="0" fontId="14" fillId="4" borderId="67" xfId="5" applyFont="1" applyFill="1" applyBorder="1" applyAlignment="1">
      <alignment horizontal="center" vertical="center"/>
    </xf>
    <xf numFmtId="0" fontId="14" fillId="4" borderId="68" xfId="5" applyFont="1" applyFill="1" applyBorder="1" applyAlignment="1">
      <alignment horizontal="center" vertical="center"/>
    </xf>
    <xf numFmtId="0" fontId="14" fillId="4" borderId="69" xfId="5" applyFont="1" applyFill="1" applyBorder="1" applyAlignment="1">
      <alignment horizontal="center" vertical="center"/>
    </xf>
    <xf numFmtId="0" fontId="14" fillId="3" borderId="2" xfId="0" applyFont="1" applyFill="1" applyBorder="1" applyAlignment="1">
      <alignment horizontal="center" vertical="center"/>
    </xf>
    <xf numFmtId="0" fontId="14" fillId="3" borderId="70" xfId="5" applyFont="1" applyFill="1" applyBorder="1" applyAlignment="1">
      <alignment horizontal="right" vertical="center"/>
    </xf>
    <xf numFmtId="0" fontId="14" fillId="3" borderId="71" xfId="5" applyFont="1" applyFill="1" applyBorder="1" applyAlignment="1">
      <alignment horizontal="right" vertical="center"/>
    </xf>
    <xf numFmtId="0" fontId="14" fillId="3" borderId="40" xfId="5" applyFont="1" applyFill="1" applyBorder="1" applyAlignment="1">
      <alignment horizontal="right" vertical="center"/>
    </xf>
    <xf numFmtId="0" fontId="14" fillId="4" borderId="6"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180" fontId="14" fillId="8" borderId="68" xfId="0" applyNumberFormat="1" applyFont="1" applyFill="1" applyBorder="1" applyAlignment="1">
      <alignment horizontal="center" vertical="center"/>
    </xf>
    <xf numFmtId="180" fontId="14" fillId="8" borderId="69" xfId="0" applyNumberFormat="1" applyFont="1" applyFill="1" applyBorder="1" applyAlignment="1">
      <alignment horizontal="center" vertical="center"/>
    </xf>
    <xf numFmtId="0" fontId="14" fillId="3" borderId="74" xfId="5" applyFont="1" applyFill="1" applyBorder="1" applyAlignment="1">
      <alignment horizontal="center" vertical="center"/>
    </xf>
    <xf numFmtId="0" fontId="14" fillId="3" borderId="64" xfId="5" applyFont="1" applyFill="1" applyBorder="1" applyAlignment="1">
      <alignment horizontal="center" vertical="center"/>
    </xf>
    <xf numFmtId="0" fontId="14" fillId="3" borderId="0" xfId="0" applyFont="1" applyFill="1" applyAlignment="1">
      <alignment horizontal="left" vertical="top" wrapText="1"/>
    </xf>
    <xf numFmtId="0" fontId="14" fillId="3" borderId="0" xfId="5" applyFont="1" applyFill="1" applyAlignment="1">
      <alignment horizontal="left" vertical="center" wrapText="1"/>
    </xf>
    <xf numFmtId="0" fontId="14" fillId="3" borderId="0" xfId="0" applyFont="1" applyFill="1" applyAlignment="1">
      <alignment horizontal="center" vertical="center"/>
    </xf>
    <xf numFmtId="0" fontId="14" fillId="3" borderId="6" xfId="5" applyFont="1" applyFill="1" applyBorder="1" applyAlignment="1">
      <alignment horizontal="distributed" vertical="center"/>
    </xf>
    <xf numFmtId="0" fontId="14" fillId="3" borderId="7" xfId="5" applyFont="1" applyFill="1" applyBorder="1" applyAlignment="1">
      <alignment horizontal="distributed" vertical="center"/>
    </xf>
    <xf numFmtId="0" fontId="14" fillId="4" borderId="6" xfId="5" applyFont="1" applyFill="1" applyBorder="1" applyAlignment="1">
      <alignment horizontal="left" vertical="center" indent="1"/>
    </xf>
    <xf numFmtId="0" fontId="14" fillId="4" borderId="7" xfId="0" applyFont="1" applyFill="1" applyBorder="1" applyAlignment="1">
      <alignment horizontal="left" vertical="center" indent="1"/>
    </xf>
    <xf numFmtId="0" fontId="14" fillId="4" borderId="8" xfId="0" applyFont="1" applyFill="1" applyBorder="1" applyAlignment="1">
      <alignment horizontal="left" vertical="center" indent="1"/>
    </xf>
    <xf numFmtId="0" fontId="14" fillId="3" borderId="16" xfId="5" applyFont="1" applyFill="1" applyBorder="1" applyAlignment="1">
      <alignment horizontal="distributed" vertical="center"/>
    </xf>
    <xf numFmtId="0" fontId="14" fillId="3" borderId="5" xfId="5" applyFont="1" applyFill="1" applyBorder="1" applyAlignment="1">
      <alignment horizontal="distributed" vertical="center"/>
    </xf>
    <xf numFmtId="0" fontId="13" fillId="3" borderId="0" xfId="0" applyFont="1" applyFill="1" applyAlignment="1">
      <alignment horizontal="center" vertical="center"/>
    </xf>
    <xf numFmtId="0" fontId="13" fillId="3" borderId="0" xfId="5" applyFont="1" applyFill="1" applyAlignment="1">
      <alignment horizontal="center" vertical="center"/>
    </xf>
    <xf numFmtId="0" fontId="14" fillId="3" borderId="40" xfId="0" applyFont="1" applyFill="1" applyBorder="1" applyAlignment="1">
      <alignment horizontal="right" vertical="center"/>
    </xf>
    <xf numFmtId="38" fontId="14" fillId="4" borderId="6" xfId="2" applyFont="1" applyFill="1" applyBorder="1" applyAlignment="1">
      <alignment horizontal="center" vertical="center"/>
    </xf>
    <xf numFmtId="38" fontId="14" fillId="4" borderId="7" xfId="2" applyFont="1" applyFill="1" applyBorder="1" applyAlignment="1">
      <alignment horizontal="center" vertical="center"/>
    </xf>
    <xf numFmtId="38" fontId="14" fillId="4" borderId="8" xfId="2" applyFont="1" applyFill="1" applyBorder="1" applyAlignment="1">
      <alignment horizontal="center" vertical="center"/>
    </xf>
    <xf numFmtId="0" fontId="14" fillId="0" borderId="6" xfId="5" applyFont="1" applyBorder="1" applyAlignment="1">
      <alignment horizontal="center" vertical="center" shrinkToFit="1"/>
    </xf>
    <xf numFmtId="0" fontId="14" fillId="0" borderId="7" xfId="5" applyFont="1" applyBorder="1" applyAlignment="1">
      <alignment horizontal="center" vertical="center" shrinkToFit="1"/>
    </xf>
    <xf numFmtId="0" fontId="33" fillId="3" borderId="4" xfId="8" applyFont="1" applyFill="1" applyBorder="1" applyAlignment="1">
      <alignment horizontal="center" vertical="center"/>
    </xf>
    <xf numFmtId="2" fontId="60" fillId="12" borderId="35" xfId="8" applyNumberFormat="1" applyFont="1" applyFill="1" applyBorder="1" applyAlignment="1">
      <alignment horizontal="center" vertical="center" shrinkToFit="1"/>
    </xf>
    <xf numFmtId="2" fontId="60" fillId="12" borderId="55" xfId="8" applyNumberFormat="1" applyFont="1" applyFill="1" applyBorder="1" applyAlignment="1">
      <alignment horizontal="center" vertical="center" shrinkToFit="1"/>
    </xf>
    <xf numFmtId="0" fontId="60" fillId="11" borderId="52" xfId="8" applyFont="1" applyFill="1" applyBorder="1" applyAlignment="1">
      <alignment vertical="center" shrinkToFit="1"/>
    </xf>
    <xf numFmtId="0" fontId="60" fillId="11" borderId="41" xfId="8" applyFont="1" applyFill="1" applyBorder="1" applyAlignment="1">
      <alignment horizontal="left" vertical="center" shrinkToFit="1"/>
    </xf>
    <xf numFmtId="0" fontId="60" fillId="11" borderId="55" xfId="8" applyFont="1" applyFill="1" applyBorder="1" applyAlignment="1">
      <alignment horizontal="left" vertical="center" shrinkToFit="1"/>
    </xf>
    <xf numFmtId="49" fontId="60" fillId="11" borderId="41" xfId="8" applyNumberFormat="1" applyFont="1" applyFill="1" applyBorder="1" applyAlignment="1">
      <alignment horizontal="center" vertical="center" shrinkToFit="1"/>
    </xf>
    <xf numFmtId="49" fontId="60" fillId="11" borderId="35" xfId="8" applyNumberFormat="1" applyFont="1" applyFill="1" applyBorder="1" applyAlignment="1">
      <alignment horizontal="center" vertical="center" shrinkToFit="1"/>
    </xf>
    <xf numFmtId="49" fontId="60" fillId="11" borderId="55" xfId="8" applyNumberFormat="1" applyFont="1" applyFill="1" applyBorder="1" applyAlignment="1">
      <alignment horizontal="center" vertical="center" shrinkToFit="1"/>
    </xf>
    <xf numFmtId="2" fontId="60" fillId="11" borderId="41" xfId="8" applyNumberFormat="1" applyFont="1" applyFill="1" applyBorder="1" applyAlignment="1">
      <alignment horizontal="center" vertical="center" shrinkToFit="1"/>
    </xf>
    <xf numFmtId="2" fontId="60" fillId="11" borderId="35" xfId="8" applyNumberFormat="1" applyFont="1" applyFill="1" applyBorder="1" applyAlignment="1">
      <alignment horizontal="center" vertical="center" shrinkToFit="1"/>
    </xf>
    <xf numFmtId="189" fontId="60" fillId="12" borderId="41" xfId="8" applyNumberFormat="1" applyFont="1" applyFill="1" applyBorder="1" applyAlignment="1">
      <alignment horizontal="center" vertical="center"/>
    </xf>
    <xf numFmtId="189" fontId="60" fillId="12" borderId="55" xfId="8" applyNumberFormat="1" applyFont="1" applyFill="1" applyBorder="1" applyAlignment="1">
      <alignment horizontal="center" vertical="center"/>
    </xf>
    <xf numFmtId="2" fontId="60" fillId="12" borderId="52" xfId="8" applyNumberFormat="1" applyFont="1" applyFill="1" applyBorder="1" applyAlignment="1">
      <alignment horizontal="center" vertical="center" shrinkToFit="1"/>
    </xf>
    <xf numFmtId="2" fontId="60" fillId="12" borderId="41" xfId="8" applyNumberFormat="1" applyFont="1" applyFill="1" applyBorder="1" applyAlignment="1">
      <alignment horizontal="center" vertical="center" shrinkToFit="1"/>
    </xf>
    <xf numFmtId="0" fontId="60" fillId="12" borderId="41" xfId="8" applyFont="1" applyFill="1" applyBorder="1" applyAlignment="1">
      <alignment horizontal="center" vertical="center"/>
    </xf>
    <xf numFmtId="0" fontId="60" fillId="12" borderId="35" xfId="8" applyFont="1" applyFill="1" applyBorder="1" applyAlignment="1">
      <alignment horizontal="center" vertical="center"/>
    </xf>
    <xf numFmtId="2" fontId="60" fillId="12" borderId="31" xfId="8" applyNumberFormat="1" applyFont="1" applyFill="1" applyBorder="1" applyAlignment="1">
      <alignment horizontal="center" vertical="center" shrinkToFit="1"/>
    </xf>
    <xf numFmtId="2" fontId="60" fillId="12" borderId="32" xfId="8" applyNumberFormat="1" applyFont="1" applyFill="1" applyBorder="1" applyAlignment="1">
      <alignment horizontal="center" vertical="center" shrinkToFit="1"/>
    </xf>
    <xf numFmtId="0" fontId="60" fillId="11" borderId="33" xfId="8" applyFont="1" applyFill="1" applyBorder="1" applyAlignment="1">
      <alignment vertical="center" shrinkToFit="1"/>
    </xf>
    <xf numFmtId="0" fontId="60" fillId="11" borderId="34" xfId="8" applyFont="1" applyFill="1" applyBorder="1" applyAlignment="1">
      <alignment horizontal="left" vertical="center" shrinkToFit="1"/>
    </xf>
    <xf numFmtId="0" fontId="60" fillId="11" borderId="32" xfId="8" applyFont="1" applyFill="1" applyBorder="1" applyAlignment="1">
      <alignment horizontal="left" vertical="center" shrinkToFit="1"/>
    </xf>
    <xf numFmtId="49" fontId="60" fillId="11" borderId="34" xfId="8" applyNumberFormat="1" applyFont="1" applyFill="1" applyBorder="1" applyAlignment="1">
      <alignment horizontal="center" vertical="center" shrinkToFit="1"/>
    </xf>
    <xf numFmtId="49" fontId="60" fillId="11" borderId="31" xfId="8" applyNumberFormat="1" applyFont="1" applyFill="1" applyBorder="1" applyAlignment="1">
      <alignment horizontal="center" vertical="center" shrinkToFit="1"/>
    </xf>
    <xf numFmtId="49" fontId="60" fillId="11" borderId="32" xfId="8" applyNumberFormat="1" applyFont="1" applyFill="1" applyBorder="1" applyAlignment="1">
      <alignment horizontal="center" vertical="center" shrinkToFit="1"/>
    </xf>
    <xf numFmtId="2" fontId="60" fillId="11" borderId="34" xfId="8" applyNumberFormat="1" applyFont="1" applyFill="1" applyBorder="1" applyAlignment="1">
      <alignment horizontal="center" vertical="center" shrinkToFit="1"/>
    </xf>
    <xf numFmtId="2" fontId="60" fillId="11" borderId="31" xfId="8" applyNumberFormat="1" applyFont="1" applyFill="1" applyBorder="1" applyAlignment="1">
      <alignment horizontal="center" vertical="center" shrinkToFit="1"/>
    </xf>
    <xf numFmtId="189" fontId="60" fillId="12" borderId="34" xfId="8" applyNumberFormat="1" applyFont="1" applyFill="1" applyBorder="1" applyAlignment="1">
      <alignment horizontal="center" vertical="center"/>
    </xf>
    <xf numFmtId="189" fontId="60" fillId="12" borderId="32" xfId="8" applyNumberFormat="1" applyFont="1" applyFill="1" applyBorder="1" applyAlignment="1">
      <alignment horizontal="center" vertical="center"/>
    </xf>
    <xf numFmtId="2" fontId="60" fillId="12" borderId="33" xfId="8" applyNumberFormat="1" applyFont="1" applyFill="1" applyBorder="1" applyAlignment="1">
      <alignment horizontal="center" vertical="center" shrinkToFit="1"/>
    </xf>
    <xf numFmtId="2" fontId="60" fillId="12" borderId="34" xfId="8" applyNumberFormat="1" applyFont="1" applyFill="1" applyBorder="1" applyAlignment="1">
      <alignment horizontal="center" vertical="center" shrinkToFit="1"/>
    </xf>
    <xf numFmtId="0" fontId="60" fillId="12" borderId="34" xfId="8" applyFont="1" applyFill="1" applyBorder="1" applyAlignment="1">
      <alignment horizontal="center" vertical="center"/>
    </xf>
    <xf numFmtId="0" fontId="60" fillId="12" borderId="31" xfId="8" applyFont="1" applyFill="1" applyBorder="1" applyAlignment="1">
      <alignment horizontal="center" vertical="center"/>
    </xf>
    <xf numFmtId="0" fontId="60" fillId="11" borderId="42" xfId="8" applyFont="1" applyFill="1" applyBorder="1" applyAlignment="1">
      <alignment vertical="center" shrinkToFit="1"/>
    </xf>
    <xf numFmtId="0" fontId="60" fillId="11" borderId="53" xfId="8" applyFont="1" applyFill="1" applyBorder="1" applyAlignment="1">
      <alignment horizontal="left" vertical="center" shrinkToFit="1"/>
    </xf>
    <xf numFmtId="0" fontId="60" fillId="11" borderId="156" xfId="8" applyFont="1" applyFill="1" applyBorder="1" applyAlignment="1">
      <alignment horizontal="left" vertical="center" shrinkToFit="1"/>
    </xf>
    <xf numFmtId="49" fontId="60" fillId="11" borderId="53" xfId="8" applyNumberFormat="1" applyFont="1" applyFill="1" applyBorder="1" applyAlignment="1">
      <alignment horizontal="center" vertical="center" shrinkToFit="1"/>
    </xf>
    <xf numFmtId="49" fontId="60" fillId="11" borderId="56" xfId="8" applyNumberFormat="1" applyFont="1" applyFill="1" applyBorder="1" applyAlignment="1">
      <alignment horizontal="center" vertical="center" shrinkToFit="1"/>
    </xf>
    <xf numFmtId="49" fontId="60" fillId="11" borderId="156" xfId="8" applyNumberFormat="1" applyFont="1" applyFill="1" applyBorder="1" applyAlignment="1">
      <alignment horizontal="center" vertical="center" shrinkToFit="1"/>
    </xf>
    <xf numFmtId="2" fontId="60" fillId="11" borderId="53" xfId="8" applyNumberFormat="1" applyFont="1" applyFill="1" applyBorder="1" applyAlignment="1">
      <alignment horizontal="center" vertical="center" shrinkToFit="1"/>
    </xf>
    <xf numFmtId="2" fontId="60" fillId="11" borderId="56" xfId="8" applyNumberFormat="1" applyFont="1" applyFill="1" applyBorder="1" applyAlignment="1">
      <alignment horizontal="center" vertical="center" shrinkToFit="1"/>
    </xf>
    <xf numFmtId="0" fontId="60" fillId="11" borderId="150" xfId="8" applyFont="1" applyFill="1" applyBorder="1" applyAlignment="1">
      <alignment vertical="center" shrinkToFit="1"/>
    </xf>
    <xf numFmtId="0" fontId="60" fillId="11" borderId="151" xfId="8" applyFont="1" applyFill="1" applyBorder="1" applyAlignment="1">
      <alignment vertical="center" shrinkToFit="1"/>
    </xf>
    <xf numFmtId="0" fontId="60" fillId="11" borderId="152" xfId="8" applyFont="1" applyFill="1" applyBorder="1" applyAlignment="1">
      <alignment horizontal="left" vertical="center" shrinkToFit="1"/>
    </xf>
    <xf numFmtId="0" fontId="60" fillId="11" borderId="153" xfId="8" applyFont="1" applyFill="1" applyBorder="1" applyAlignment="1">
      <alignment horizontal="left" vertical="center" shrinkToFit="1"/>
    </xf>
    <xf numFmtId="49" fontId="60" fillId="11" borderId="152" xfId="8" applyNumberFormat="1" applyFont="1" applyFill="1" applyBorder="1" applyAlignment="1">
      <alignment horizontal="center" vertical="center" shrinkToFit="1"/>
    </xf>
    <xf numFmtId="49" fontId="60" fillId="11" borderId="154" xfId="8" applyNumberFormat="1" applyFont="1" applyFill="1" applyBorder="1" applyAlignment="1">
      <alignment horizontal="center" vertical="center" shrinkToFit="1"/>
    </xf>
    <xf numFmtId="49" fontId="60" fillId="11" borderId="153" xfId="8" applyNumberFormat="1" applyFont="1" applyFill="1" applyBorder="1" applyAlignment="1">
      <alignment horizontal="center" vertical="center" shrinkToFit="1"/>
    </xf>
    <xf numFmtId="2" fontId="60" fillId="11" borderId="152" xfId="8" applyNumberFormat="1" applyFont="1" applyFill="1" applyBorder="1" applyAlignment="1">
      <alignment horizontal="center" vertical="center" shrinkToFit="1"/>
    </xf>
    <xf numFmtId="2" fontId="60" fillId="11" borderId="154" xfId="8" applyNumberFormat="1" applyFont="1" applyFill="1" applyBorder="1" applyAlignment="1">
      <alignment horizontal="center" vertical="center" shrinkToFit="1"/>
    </xf>
    <xf numFmtId="2" fontId="60" fillId="12" borderId="27" xfId="8" applyNumberFormat="1" applyFont="1" applyFill="1" applyBorder="1" applyAlignment="1">
      <alignment horizontal="center" vertical="center" shrinkToFit="1"/>
    </xf>
    <xf numFmtId="2" fontId="60" fillId="12" borderId="28" xfId="8" applyNumberFormat="1" applyFont="1" applyFill="1" applyBorder="1" applyAlignment="1">
      <alignment horizontal="center" vertical="center" shrinkToFit="1"/>
    </xf>
    <xf numFmtId="0" fontId="60" fillId="11" borderId="144" xfId="8" applyFont="1" applyFill="1" applyBorder="1" applyAlignment="1">
      <alignment vertical="center" shrinkToFit="1"/>
    </xf>
    <xf numFmtId="0" fontId="60" fillId="11" borderId="145" xfId="8" applyFont="1" applyFill="1" applyBorder="1" applyAlignment="1">
      <alignment vertical="center" shrinkToFit="1"/>
    </xf>
    <xf numFmtId="0" fontId="60" fillId="11" borderId="146" xfId="8" applyFont="1" applyFill="1" applyBorder="1" applyAlignment="1">
      <alignment horizontal="left" vertical="center" shrinkToFit="1"/>
    </xf>
    <xf numFmtId="0" fontId="60" fillId="11" borderId="147" xfId="8" applyFont="1" applyFill="1" applyBorder="1" applyAlignment="1">
      <alignment horizontal="left" vertical="center" shrinkToFit="1"/>
    </xf>
    <xf numFmtId="49" fontId="60" fillId="11" borderId="146" xfId="8" applyNumberFormat="1" applyFont="1" applyFill="1" applyBorder="1" applyAlignment="1">
      <alignment horizontal="center" vertical="center" shrinkToFit="1"/>
    </xf>
    <xf numFmtId="49" fontId="60" fillId="11" borderId="148" xfId="8" applyNumberFormat="1" applyFont="1" applyFill="1" applyBorder="1" applyAlignment="1">
      <alignment horizontal="center" vertical="center" shrinkToFit="1"/>
    </xf>
    <xf numFmtId="49" fontId="60" fillId="11" borderId="147" xfId="8" applyNumberFormat="1" applyFont="1" applyFill="1" applyBorder="1" applyAlignment="1">
      <alignment horizontal="center" vertical="center" shrinkToFit="1"/>
    </xf>
    <xf numFmtId="2" fontId="60" fillId="11" borderId="146" xfId="8" applyNumberFormat="1" applyFont="1" applyFill="1" applyBorder="1" applyAlignment="1">
      <alignment horizontal="center" vertical="center" shrinkToFit="1"/>
    </xf>
    <xf numFmtId="2" fontId="60" fillId="11" borderId="148" xfId="8" applyNumberFormat="1" applyFont="1" applyFill="1" applyBorder="1" applyAlignment="1">
      <alignment horizontal="center" vertical="center" shrinkToFit="1"/>
    </xf>
    <xf numFmtId="189" fontId="60" fillId="12" borderId="29" xfId="8" applyNumberFormat="1" applyFont="1" applyFill="1" applyBorder="1" applyAlignment="1">
      <alignment horizontal="center" vertical="center"/>
    </xf>
    <xf numFmtId="189" fontId="60" fillId="12" borderId="28" xfId="8" applyNumberFormat="1" applyFont="1" applyFill="1" applyBorder="1" applyAlignment="1">
      <alignment horizontal="center" vertical="center"/>
    </xf>
    <xf numFmtId="2" fontId="60" fillId="12" borderId="51" xfId="8" applyNumberFormat="1" applyFont="1" applyFill="1" applyBorder="1" applyAlignment="1">
      <alignment horizontal="center" vertical="center" shrinkToFit="1"/>
    </xf>
    <xf numFmtId="2" fontId="60" fillId="12" borderId="29" xfId="8" applyNumberFormat="1" applyFont="1" applyFill="1" applyBorder="1" applyAlignment="1">
      <alignment horizontal="center" vertical="center" shrinkToFit="1"/>
    </xf>
    <xf numFmtId="0" fontId="60" fillId="12" borderId="29" xfId="8" applyFont="1" applyFill="1" applyBorder="1" applyAlignment="1">
      <alignment horizontal="center" vertical="center"/>
    </xf>
    <xf numFmtId="0" fontId="60" fillId="12" borderId="27" xfId="8" applyFont="1" applyFill="1" applyBorder="1" applyAlignment="1">
      <alignment horizontal="center" vertical="center"/>
    </xf>
    <xf numFmtId="0" fontId="70" fillId="7" borderId="6" xfId="8" applyFont="1" applyFill="1" applyBorder="1" applyAlignment="1">
      <alignment horizontal="center" vertical="center"/>
    </xf>
    <xf numFmtId="0" fontId="70" fillId="7" borderId="7" xfId="8" applyFont="1" applyFill="1" applyBorder="1" applyAlignment="1">
      <alignment horizontal="center" vertical="center"/>
    </xf>
    <xf numFmtId="0" fontId="70" fillId="7" borderId="8" xfId="8" applyFont="1" applyFill="1" applyBorder="1" applyAlignment="1">
      <alignment horizontal="center" vertical="center"/>
    </xf>
    <xf numFmtId="0" fontId="60" fillId="13" borderId="25" xfId="8" applyFont="1" applyFill="1" applyBorder="1" applyAlignment="1">
      <alignment horizontal="center" vertical="center" shrinkToFit="1"/>
    </xf>
    <xf numFmtId="0" fontId="60" fillId="13" borderId="3" xfId="8" applyFont="1" applyFill="1" applyBorder="1" applyAlignment="1">
      <alignment horizontal="center" vertical="center"/>
    </xf>
    <xf numFmtId="0" fontId="60" fillId="13" borderId="4" xfId="8" applyFont="1" applyFill="1" applyBorder="1" applyAlignment="1">
      <alignment horizontal="center" vertical="center"/>
    </xf>
    <xf numFmtId="0" fontId="60" fillId="13" borderId="1" xfId="8" applyFont="1" applyFill="1" applyBorder="1" applyAlignment="1">
      <alignment horizontal="center" vertical="center"/>
    </xf>
    <xf numFmtId="0" fontId="60" fillId="3" borderId="132" xfId="8" applyFont="1" applyFill="1" applyBorder="1" applyAlignment="1">
      <alignment horizontal="center" vertical="center" shrinkToFit="1"/>
    </xf>
    <xf numFmtId="179" fontId="60" fillId="12" borderId="132" xfId="8" applyNumberFormat="1" applyFont="1" applyFill="1" applyBorder="1" applyAlignment="1">
      <alignment vertical="center" shrinkToFit="1"/>
    </xf>
    <xf numFmtId="0" fontId="70" fillId="7" borderId="2" xfId="8" applyFont="1" applyFill="1" applyBorder="1" applyAlignment="1">
      <alignment horizontal="center" vertical="center"/>
    </xf>
    <xf numFmtId="0" fontId="60" fillId="11" borderId="136" xfId="8" applyFont="1" applyFill="1" applyBorder="1" applyAlignment="1">
      <alignment horizontal="left" vertical="center" shrinkToFit="1"/>
    </xf>
    <xf numFmtId="0" fontId="60" fillId="11" borderId="139" xfId="8" applyFont="1" applyFill="1" applyBorder="1" applyAlignment="1">
      <alignment horizontal="left" vertical="center" shrinkToFit="1"/>
    </xf>
    <xf numFmtId="0" fontId="60" fillId="11" borderId="132" xfId="8" applyFont="1" applyFill="1" applyBorder="1" applyAlignment="1">
      <alignment horizontal="left" vertical="center" shrinkToFit="1"/>
    </xf>
    <xf numFmtId="0" fontId="60" fillId="11" borderId="143" xfId="8" applyFont="1" applyFill="1" applyBorder="1" applyAlignment="1">
      <alignment horizontal="left" vertical="center" shrinkToFit="1"/>
    </xf>
    <xf numFmtId="49" fontId="60" fillId="11" borderId="136" xfId="8" applyNumberFormat="1" applyFont="1" applyFill="1" applyBorder="1" applyAlignment="1">
      <alignment horizontal="center" vertical="center" shrinkToFit="1"/>
    </xf>
    <xf numFmtId="49" fontId="60" fillId="11" borderId="132" xfId="8" applyNumberFormat="1" applyFont="1" applyFill="1" applyBorder="1" applyAlignment="1">
      <alignment horizontal="center" vertical="center" shrinkToFit="1"/>
    </xf>
    <xf numFmtId="0" fontId="60" fillId="3" borderId="136" xfId="8" applyFont="1" applyFill="1" applyBorder="1" applyAlignment="1">
      <alignment horizontal="center" vertical="center" shrinkToFit="1"/>
    </xf>
    <xf numFmtId="2" fontId="60" fillId="11" borderId="136" xfId="8" applyNumberFormat="1" applyFont="1" applyFill="1" applyBorder="1" applyAlignment="1">
      <alignment horizontal="center" vertical="center" shrinkToFit="1"/>
    </xf>
    <xf numFmtId="2" fontId="60" fillId="11" borderId="132" xfId="8" applyNumberFormat="1" applyFont="1" applyFill="1" applyBorder="1" applyAlignment="1">
      <alignment horizontal="center" vertical="center" shrinkToFit="1"/>
    </xf>
    <xf numFmtId="0" fontId="60" fillId="3" borderId="137" xfId="8" applyFont="1" applyFill="1" applyBorder="1" applyAlignment="1">
      <alignment vertical="center" shrinkToFit="1"/>
    </xf>
    <xf numFmtId="0" fontId="60" fillId="3" borderId="141" xfId="8" applyFont="1" applyFill="1" applyBorder="1" applyAlignment="1">
      <alignment vertical="center" shrinkToFit="1"/>
    </xf>
    <xf numFmtId="0" fontId="67" fillId="3" borderId="0" xfId="8" applyFont="1" applyFill="1" applyAlignment="1">
      <alignment horizontal="right" vertical="center"/>
    </xf>
    <xf numFmtId="0" fontId="67" fillId="3" borderId="40" xfId="8" applyFont="1" applyFill="1" applyBorder="1" applyAlignment="1">
      <alignment horizontal="right" vertical="center"/>
    </xf>
    <xf numFmtId="2" fontId="14" fillId="8" borderId="16" xfId="8" applyNumberFormat="1" applyFont="1" applyFill="1" applyBorder="1" applyAlignment="1">
      <alignment horizontal="right" vertical="center" shrinkToFit="1"/>
    </xf>
    <xf numFmtId="2" fontId="14" fillId="8" borderId="15" xfId="8" applyNumberFormat="1" applyFont="1" applyFill="1" applyBorder="1" applyAlignment="1">
      <alignment horizontal="right" vertical="center" shrinkToFit="1"/>
    </xf>
    <xf numFmtId="0" fontId="60" fillId="3" borderId="135" xfId="8" applyFont="1" applyFill="1" applyBorder="1" applyAlignment="1">
      <alignment vertical="center" shrinkToFit="1"/>
    </xf>
    <xf numFmtId="0" fontId="60" fillId="3" borderId="136" xfId="8" applyFont="1" applyFill="1" applyBorder="1" applyAlignment="1">
      <alignment vertical="center" shrinkToFit="1"/>
    </xf>
    <xf numFmtId="0" fontId="60" fillId="3" borderId="140" xfId="8" applyFont="1" applyFill="1" applyBorder="1" applyAlignment="1">
      <alignment vertical="center" shrinkToFit="1"/>
    </xf>
    <xf numFmtId="0" fontId="60" fillId="3" borderId="132" xfId="8" applyFont="1" applyFill="1" applyBorder="1" applyAlignment="1">
      <alignment vertical="center" shrinkToFit="1"/>
    </xf>
    <xf numFmtId="0" fontId="60" fillId="11" borderId="136" xfId="8" applyFont="1" applyFill="1" applyBorder="1" applyAlignment="1">
      <alignment vertical="center" shrinkToFit="1"/>
    </xf>
    <xf numFmtId="0" fontId="60" fillId="12" borderId="136" xfId="8" applyFont="1" applyFill="1" applyBorder="1" applyAlignment="1">
      <alignment vertical="center" shrinkToFit="1"/>
    </xf>
    <xf numFmtId="0" fontId="60" fillId="3" borderId="0" xfId="8" applyFont="1" applyFill="1">
      <alignment vertical="center"/>
    </xf>
    <xf numFmtId="0" fontId="60" fillId="3" borderId="138" xfId="8" applyFont="1" applyFill="1" applyBorder="1" applyAlignment="1">
      <alignment horizontal="center" vertical="center" shrinkToFit="1"/>
    </xf>
    <xf numFmtId="0" fontId="60" fillId="3" borderId="142" xfId="8" applyFont="1" applyFill="1" applyBorder="1" applyAlignment="1">
      <alignment horizontal="center" vertical="center" shrinkToFit="1"/>
    </xf>
    <xf numFmtId="0" fontId="60" fillId="8" borderId="34" xfId="8" applyFont="1" applyFill="1" applyBorder="1" applyAlignment="1">
      <alignment vertical="center" shrinkToFit="1"/>
    </xf>
    <xf numFmtId="0" fontId="60" fillId="8" borderId="31" xfId="8" applyFont="1" applyFill="1" applyBorder="1" applyAlignment="1">
      <alignment vertical="center" shrinkToFit="1"/>
    </xf>
    <xf numFmtId="0" fontId="60" fillId="8" borderId="32" xfId="8" applyFont="1" applyFill="1" applyBorder="1" applyAlignment="1">
      <alignment vertical="center" shrinkToFit="1"/>
    </xf>
    <xf numFmtId="2" fontId="14" fillId="8" borderId="34" xfId="8" applyNumberFormat="1" applyFont="1" applyFill="1" applyBorder="1" applyAlignment="1">
      <alignment horizontal="right" vertical="center" shrinkToFit="1"/>
    </xf>
    <xf numFmtId="2" fontId="14" fillId="8" borderId="32" xfId="8" applyNumberFormat="1" applyFont="1" applyFill="1" applyBorder="1" applyAlignment="1">
      <alignment horizontal="right" vertical="center" shrinkToFit="1"/>
    </xf>
    <xf numFmtId="0" fontId="60" fillId="8" borderId="41" xfId="8" applyFont="1" applyFill="1" applyBorder="1" applyAlignment="1">
      <alignment vertical="center" shrinkToFit="1"/>
    </xf>
    <xf numFmtId="0" fontId="60" fillId="8" borderId="35" xfId="8" applyFont="1" applyFill="1" applyBorder="1" applyAlignment="1">
      <alignment vertical="center" shrinkToFit="1"/>
    </xf>
    <xf numFmtId="0" fontId="60" fillId="8" borderId="55" xfId="8" applyFont="1" applyFill="1" applyBorder="1" applyAlignment="1">
      <alignment vertical="center" shrinkToFit="1"/>
    </xf>
    <xf numFmtId="2" fontId="14" fillId="8" borderId="41" xfId="8" applyNumberFormat="1" applyFont="1" applyFill="1" applyBorder="1" applyAlignment="1">
      <alignment horizontal="right" vertical="center" shrinkToFit="1"/>
    </xf>
    <xf numFmtId="2" fontId="14" fillId="8" borderId="55" xfId="8" applyNumberFormat="1" applyFont="1" applyFill="1" applyBorder="1" applyAlignment="1">
      <alignment horizontal="right" vertical="center" shrinkToFit="1"/>
    </xf>
    <xf numFmtId="2" fontId="14" fillId="8" borderId="31" xfId="8" applyNumberFormat="1" applyFont="1" applyFill="1" applyBorder="1" applyAlignment="1">
      <alignment horizontal="right" vertical="center" shrinkToFit="1"/>
    </xf>
    <xf numFmtId="179" fontId="66" fillId="4" borderId="114" xfId="8" applyNumberFormat="1" applyFont="1" applyFill="1" applyBorder="1" applyAlignment="1">
      <alignment horizontal="center" vertical="center" shrinkToFit="1"/>
    </xf>
    <xf numFmtId="0" fontId="14" fillId="3" borderId="0" xfId="8" applyFont="1" applyFill="1" applyAlignment="1">
      <alignment horizontal="center" shrinkToFit="1"/>
    </xf>
    <xf numFmtId="0" fontId="70" fillId="7" borderId="2" xfId="8" applyFont="1" applyFill="1" applyBorder="1" applyAlignment="1">
      <alignment horizontal="center" vertical="center" shrinkToFit="1"/>
    </xf>
    <xf numFmtId="0" fontId="70" fillId="7" borderId="6" xfId="8" applyFont="1" applyFill="1" applyBorder="1" applyAlignment="1">
      <alignment horizontal="center" vertical="center" shrinkToFit="1"/>
    </xf>
    <xf numFmtId="0" fontId="70" fillId="7" borderId="7" xfId="8" applyFont="1" applyFill="1" applyBorder="1" applyAlignment="1">
      <alignment horizontal="center" vertical="center" shrinkToFit="1"/>
    </xf>
    <xf numFmtId="0" fontId="60" fillId="8" borderId="29" xfId="8" applyFont="1" applyFill="1" applyBorder="1" applyAlignment="1">
      <alignment vertical="center" shrinkToFit="1"/>
    </xf>
    <xf numFmtId="0" fontId="60" fillId="8" borderId="27" xfId="8" applyFont="1" applyFill="1" applyBorder="1" applyAlignment="1">
      <alignment vertical="center" shrinkToFit="1"/>
    </xf>
    <xf numFmtId="0" fontId="60" fillId="8" borderId="28" xfId="8" applyFont="1" applyFill="1" applyBorder="1" applyAlignment="1">
      <alignment vertical="center" shrinkToFit="1"/>
    </xf>
    <xf numFmtId="2" fontId="14" fillId="8" borderId="29" xfId="8" applyNumberFormat="1" applyFont="1" applyFill="1" applyBorder="1" applyAlignment="1">
      <alignment horizontal="right" vertical="center" shrinkToFit="1"/>
    </xf>
    <xf numFmtId="2" fontId="14" fillId="8" borderId="27" xfId="8" applyNumberFormat="1" applyFont="1" applyFill="1" applyBorder="1" applyAlignment="1">
      <alignment horizontal="right" vertical="center" shrinkToFit="1"/>
    </xf>
    <xf numFmtId="2" fontId="66" fillId="8" borderId="58" xfId="8" applyNumberFormat="1" applyFont="1" applyFill="1" applyBorder="1" applyAlignment="1">
      <alignment horizontal="center" vertical="center" shrinkToFit="1"/>
    </xf>
    <xf numFmtId="2" fontId="66" fillId="8" borderId="45" xfId="8" applyNumberFormat="1" applyFont="1" applyFill="1" applyBorder="1" applyAlignment="1">
      <alignment horizontal="center" vertical="center" shrinkToFit="1"/>
    </xf>
    <xf numFmtId="2" fontId="66" fillId="8" borderId="46" xfId="8" applyNumberFormat="1" applyFont="1" applyFill="1" applyBorder="1" applyAlignment="1">
      <alignment horizontal="center" vertical="center" shrinkToFit="1"/>
    </xf>
    <xf numFmtId="0" fontId="66" fillId="8" borderId="58" xfId="8" applyFont="1" applyFill="1" applyBorder="1" applyAlignment="1">
      <alignment horizontal="center" vertical="center" shrinkToFit="1"/>
    </xf>
    <xf numFmtId="0" fontId="66" fillId="8" borderId="45" xfId="8" applyFont="1" applyFill="1" applyBorder="1" applyAlignment="1">
      <alignment horizontal="center" vertical="center" shrinkToFit="1"/>
    </xf>
    <xf numFmtId="0" fontId="66" fillId="4" borderId="58" xfId="8" applyFont="1" applyFill="1" applyBorder="1" applyAlignment="1">
      <alignment horizontal="center" vertical="center" shrinkToFit="1"/>
    </xf>
    <xf numFmtId="0" fontId="66" fillId="4" borderId="45" xfId="8" applyFont="1" applyFill="1" applyBorder="1" applyAlignment="1">
      <alignment horizontal="center" vertical="center" shrinkToFit="1"/>
    </xf>
    <xf numFmtId="180" fontId="66" fillId="8" borderId="58" xfId="8" applyNumberFormat="1" applyFont="1" applyFill="1" applyBorder="1" applyAlignment="1">
      <alignment horizontal="center" vertical="center" shrinkToFit="1"/>
    </xf>
    <xf numFmtId="180" fontId="66" fillId="8" borderId="45" xfId="8" applyNumberFormat="1" applyFont="1" applyFill="1" applyBorder="1" applyAlignment="1">
      <alignment horizontal="center" vertical="center" shrinkToFit="1"/>
    </xf>
    <xf numFmtId="179" fontId="66" fillId="8" borderId="58" xfId="8" applyNumberFormat="1" applyFont="1" applyFill="1" applyBorder="1" applyAlignment="1">
      <alignment horizontal="center" vertical="center" shrinkToFit="1"/>
    </xf>
    <xf numFmtId="179" fontId="66" fillId="8" borderId="46" xfId="8" applyNumberFormat="1" applyFont="1" applyFill="1" applyBorder="1" applyAlignment="1">
      <alignment horizontal="center" vertical="center" shrinkToFit="1"/>
    </xf>
    <xf numFmtId="0" fontId="14" fillId="5" borderId="25" xfId="8" applyFont="1" applyFill="1" applyBorder="1" applyAlignment="1">
      <alignment horizontal="left" vertical="center" shrinkToFit="1"/>
    </xf>
    <xf numFmtId="0" fontId="14" fillId="5" borderId="30" xfId="8" applyFont="1" applyFill="1" applyBorder="1" applyAlignment="1">
      <alignment horizontal="left" vertical="center" shrinkToFit="1"/>
    </xf>
    <xf numFmtId="0" fontId="14" fillId="5" borderId="25" xfId="8" applyFont="1" applyFill="1" applyBorder="1" applyAlignment="1">
      <alignment horizontal="center" vertical="center" shrinkToFit="1"/>
    </xf>
    <xf numFmtId="0" fontId="14" fillId="5" borderId="30" xfId="8" applyFont="1" applyFill="1" applyBorder="1" applyAlignment="1">
      <alignment horizontal="center" vertical="center" shrinkToFit="1"/>
    </xf>
    <xf numFmtId="0" fontId="60" fillId="4" borderId="25" xfId="8" applyFont="1" applyFill="1" applyBorder="1" applyAlignment="1">
      <alignment vertical="center" shrinkToFit="1"/>
    </xf>
    <xf numFmtId="0" fontId="60" fillId="4" borderId="30" xfId="8" applyFont="1" applyFill="1" applyBorder="1" applyAlignment="1">
      <alignment vertical="center" shrinkToFit="1"/>
    </xf>
    <xf numFmtId="0" fontId="60" fillId="3" borderId="6" xfId="8" applyFont="1" applyFill="1" applyBorder="1" applyAlignment="1">
      <alignment vertical="center" shrinkToFit="1"/>
    </xf>
    <xf numFmtId="0" fontId="60" fillId="3" borderId="7" xfId="8" applyFont="1" applyFill="1" applyBorder="1" applyAlignment="1">
      <alignment vertical="center" shrinkToFit="1"/>
    </xf>
    <xf numFmtId="0" fontId="60" fillId="3" borderId="8" xfId="8" applyFont="1" applyFill="1" applyBorder="1" applyAlignment="1">
      <alignment vertical="center" shrinkToFit="1"/>
    </xf>
    <xf numFmtId="0" fontId="66" fillId="3" borderId="0" xfId="8" applyFont="1" applyFill="1" applyAlignment="1">
      <alignment horizontal="left" vertical="center" shrinkToFit="1"/>
    </xf>
    <xf numFmtId="0" fontId="66" fillId="3" borderId="0" xfId="8" applyFont="1" applyFill="1" applyAlignment="1">
      <alignment horizontal="left" vertical="center" wrapText="1"/>
    </xf>
    <xf numFmtId="0" fontId="1" fillId="0" borderId="0" xfId="8" applyAlignment="1">
      <alignment vertical="center" wrapText="1"/>
    </xf>
    <xf numFmtId="0" fontId="66" fillId="3" borderId="0" xfId="8" applyFont="1" applyFill="1" applyAlignment="1">
      <alignment horizontal="right" vertical="center" shrinkToFit="1"/>
    </xf>
    <xf numFmtId="0" fontId="66" fillId="3" borderId="0" xfId="8" applyFont="1" applyFill="1" applyAlignment="1">
      <alignment horizontal="center" vertical="center" shrinkToFit="1"/>
    </xf>
    <xf numFmtId="0" fontId="66" fillId="3" borderId="132" xfId="8" applyFont="1" applyFill="1" applyBorder="1" applyAlignment="1">
      <alignment horizontal="left" vertical="center" shrinkToFit="1"/>
    </xf>
    <xf numFmtId="0" fontId="60" fillId="3" borderId="40" xfId="8" applyFont="1" applyFill="1" applyBorder="1" applyAlignment="1">
      <alignment horizontal="right" vertical="center" shrinkToFit="1"/>
    </xf>
    <xf numFmtId="0" fontId="14" fillId="5" borderId="36" xfId="8" applyFont="1" applyFill="1" applyBorder="1" applyAlignment="1">
      <alignment horizontal="left" vertical="center" shrinkToFit="1"/>
    </xf>
    <xf numFmtId="0" fontId="14" fillId="5" borderId="36" xfId="8" applyFont="1" applyFill="1" applyBorder="1" applyAlignment="1">
      <alignment horizontal="center" vertical="center" shrinkToFit="1"/>
    </xf>
    <xf numFmtId="0" fontId="60" fillId="4" borderId="36" xfId="8" applyFont="1" applyFill="1" applyBorder="1" applyAlignment="1">
      <alignment vertical="center" shrinkToFit="1"/>
    </xf>
    <xf numFmtId="0" fontId="60" fillId="3" borderId="127" xfId="8" applyFont="1" applyFill="1" applyBorder="1" applyAlignment="1">
      <alignment horizontal="right" vertical="center" shrinkToFit="1"/>
    </xf>
    <xf numFmtId="0" fontId="70" fillId="7" borderId="25" xfId="8" applyFont="1" applyFill="1" applyBorder="1" applyAlignment="1">
      <alignment horizontal="center" vertical="center" wrapText="1"/>
    </xf>
    <xf numFmtId="0" fontId="70" fillId="7" borderId="30" xfId="8" applyFont="1" applyFill="1" applyBorder="1" applyAlignment="1">
      <alignment horizontal="center" vertical="center" wrapText="1"/>
    </xf>
    <xf numFmtId="0" fontId="70" fillId="7" borderId="36" xfId="8" applyFont="1" applyFill="1" applyBorder="1" applyAlignment="1">
      <alignment horizontal="center" vertical="center" wrapText="1"/>
    </xf>
    <xf numFmtId="0" fontId="70" fillId="7" borderId="3" xfId="8" applyFont="1" applyFill="1" applyBorder="1" applyAlignment="1">
      <alignment horizontal="center" vertical="center" wrapText="1"/>
    </xf>
    <xf numFmtId="0" fontId="70" fillId="7" borderId="4" xfId="8" applyFont="1" applyFill="1" applyBorder="1" applyAlignment="1">
      <alignment horizontal="center" vertical="center" wrapText="1"/>
    </xf>
    <xf numFmtId="0" fontId="70" fillId="7" borderId="1" xfId="8" applyFont="1" applyFill="1" applyBorder="1" applyAlignment="1">
      <alignment horizontal="center" vertical="center" wrapText="1"/>
    </xf>
    <xf numFmtId="0" fontId="70" fillId="7" borderId="17" xfId="8" applyFont="1" applyFill="1" applyBorder="1" applyAlignment="1">
      <alignment horizontal="center" vertical="center" wrapText="1"/>
    </xf>
    <xf numFmtId="0" fontId="70" fillId="7" borderId="0" xfId="8" applyFont="1" applyFill="1" applyAlignment="1">
      <alignment horizontal="center" vertical="center" wrapText="1"/>
    </xf>
    <xf numFmtId="0" fontId="70" fillId="7" borderId="40" xfId="8" applyFont="1" applyFill="1" applyBorder="1" applyAlignment="1">
      <alignment horizontal="center" vertical="center" wrapText="1"/>
    </xf>
    <xf numFmtId="0" fontId="16" fillId="3" borderId="0" xfId="8" applyFont="1" applyFill="1" applyAlignment="1">
      <alignment horizontal="right" vertical="center"/>
    </xf>
    <xf numFmtId="0" fontId="63" fillId="4" borderId="0" xfId="8" applyFont="1" applyFill="1" applyAlignment="1">
      <alignment horizontal="right" vertical="center"/>
    </xf>
    <xf numFmtId="0" fontId="63" fillId="3" borderId="0" xfId="8" applyFont="1" applyFill="1">
      <alignment vertical="center"/>
    </xf>
    <xf numFmtId="0" fontId="68" fillId="8" borderId="49" xfId="8" applyFont="1" applyFill="1" applyBorder="1" applyAlignment="1">
      <alignment vertical="center" wrapText="1"/>
    </xf>
    <xf numFmtId="0" fontId="68" fillId="8" borderId="37" xfId="8" applyFont="1" applyFill="1" applyBorder="1" applyAlignment="1">
      <alignment vertical="center" wrapText="1"/>
    </xf>
    <xf numFmtId="0" fontId="68" fillId="8" borderId="60" xfId="8" applyFont="1" applyFill="1" applyBorder="1" applyAlignment="1">
      <alignment vertical="center" wrapText="1"/>
    </xf>
    <xf numFmtId="0" fontId="68" fillId="8" borderId="50" xfId="8" applyFont="1" applyFill="1" applyBorder="1" applyAlignment="1">
      <alignment vertical="center" wrapText="1"/>
    </xf>
    <xf numFmtId="0" fontId="68" fillId="8" borderId="56" xfId="8" applyFont="1" applyFill="1" applyBorder="1" applyAlignment="1">
      <alignment vertical="center" wrapText="1"/>
    </xf>
    <xf numFmtId="0" fontId="68" fillId="8" borderId="62" xfId="8" applyFont="1" applyFill="1" applyBorder="1" applyAlignment="1">
      <alignment vertical="center" wrapText="1"/>
    </xf>
    <xf numFmtId="0" fontId="71" fillId="7" borderId="3" xfId="8" applyFont="1" applyFill="1" applyBorder="1" applyAlignment="1">
      <alignment horizontal="center" vertical="center" wrapText="1"/>
    </xf>
    <xf numFmtId="0" fontId="71" fillId="7" borderId="17" xfId="8" applyFont="1" applyFill="1" applyBorder="1" applyAlignment="1">
      <alignment horizontal="center" vertical="center" wrapText="1"/>
    </xf>
    <xf numFmtId="0" fontId="71" fillId="7" borderId="16" xfId="8" applyFont="1" applyFill="1" applyBorder="1" applyAlignment="1">
      <alignment horizontal="center" vertical="center" wrapText="1"/>
    </xf>
    <xf numFmtId="0" fontId="70" fillId="7" borderId="118" xfId="8" applyFont="1" applyFill="1" applyBorder="1" applyAlignment="1">
      <alignment horizontal="center" vertical="center"/>
    </xf>
    <xf numFmtId="0" fontId="70" fillId="7" borderId="119" xfId="8" applyFont="1" applyFill="1" applyBorder="1" applyAlignment="1">
      <alignment horizontal="center" vertical="center"/>
    </xf>
    <xf numFmtId="0" fontId="7" fillId="0" borderId="4" xfId="0" applyFont="1" applyBorder="1" applyAlignment="1">
      <alignment horizontal="left"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7" fillId="0" borderId="2" xfId="0" applyFont="1" applyBorder="1" applyAlignment="1">
      <alignment horizontal="left" wrapText="1"/>
    </xf>
    <xf numFmtId="0" fontId="7" fillId="0" borderId="6" xfId="0" applyFont="1" applyBorder="1" applyAlignment="1">
      <alignment horizontal="left" wrapText="1"/>
    </xf>
    <xf numFmtId="0" fontId="7" fillId="0" borderId="2" xfId="0" applyFont="1" applyBorder="1" applyAlignment="1">
      <alignment horizontal="left" vertical="center" wrapText="1"/>
    </xf>
    <xf numFmtId="0" fontId="7" fillId="0" borderId="25" xfId="0" applyFont="1" applyBorder="1" applyAlignment="1">
      <alignment horizontal="left"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4" fillId="0" borderId="84" xfId="0" applyFont="1" applyBorder="1" applyAlignment="1">
      <alignment horizontal="left" vertical="top"/>
    </xf>
    <xf numFmtId="0" fontId="7" fillId="0" borderId="7" xfId="0" applyFont="1" applyBorder="1" applyAlignment="1">
      <alignment horizontal="left" vertical="top"/>
    </xf>
    <xf numFmtId="0" fontId="7" fillId="0" borderId="84" xfId="0" applyFont="1" applyBorder="1" applyAlignment="1">
      <alignment horizontal="left" vertical="top"/>
    </xf>
    <xf numFmtId="0" fontId="4" fillId="0" borderId="4" xfId="0" applyFont="1" applyBorder="1" applyAlignment="1">
      <alignment horizontal="left" vertical="top"/>
    </xf>
    <xf numFmtId="0" fontId="7" fillId="0" borderId="4" xfId="0" applyFont="1" applyBorder="1" applyAlignment="1">
      <alignment horizontal="left" vertical="top"/>
    </xf>
    <xf numFmtId="0" fontId="7" fillId="0" borderId="85" xfId="0" applyFont="1"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2" xfId="0" applyFont="1" applyBorder="1" applyAlignment="1">
      <alignment horizontal="center" wrapText="1"/>
    </xf>
    <xf numFmtId="0" fontId="4" fillId="0" borderId="4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3" xfId="0" applyFont="1" applyBorder="1" applyAlignment="1">
      <alignment horizontal="left" vertical="top"/>
    </xf>
    <xf numFmtId="0" fontId="4" fillId="0" borderId="83" xfId="0" applyFont="1" applyBorder="1" applyAlignment="1">
      <alignment horizontal="left" vertical="top"/>
    </xf>
    <xf numFmtId="0" fontId="4" fillId="0" borderId="2" xfId="0" applyFont="1" applyBorder="1" applyAlignment="1">
      <alignment horizontal="left" shrinkToFi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82" fillId="0" borderId="0" xfId="0" applyFont="1" applyAlignment="1">
      <alignment horizontal="left" vertical="center"/>
    </xf>
    <xf numFmtId="0" fontId="83" fillId="0" borderId="0" xfId="0" applyFont="1" applyAlignment="1">
      <alignment horizontal="left" vertical="center"/>
    </xf>
    <xf numFmtId="0" fontId="82" fillId="0" borderId="0" xfId="0" applyFont="1" applyAlignment="1">
      <alignment horizontal="center" vertical="center"/>
    </xf>
    <xf numFmtId="0" fontId="82" fillId="0" borderId="0" xfId="0" applyFont="1"/>
    <xf numFmtId="0" fontId="82" fillId="0" borderId="0" xfId="0" applyFont="1" applyAlignment="1">
      <alignment vertical="center"/>
    </xf>
    <xf numFmtId="0" fontId="82" fillId="0" borderId="0" xfId="0" applyFont="1" applyAlignment="1">
      <alignment horizontal="center"/>
    </xf>
    <xf numFmtId="0" fontId="82" fillId="0" borderId="14" xfId="0" applyFont="1" applyBorder="1" applyAlignment="1">
      <alignment vertical="center"/>
    </xf>
    <xf numFmtId="0" fontId="82" fillId="0" borderId="13" xfId="0" applyFont="1" applyBorder="1" applyAlignment="1">
      <alignment vertical="center"/>
    </xf>
    <xf numFmtId="0" fontId="84" fillId="0" borderId="13" xfId="0" applyFont="1" applyBorder="1" applyAlignment="1">
      <alignment vertical="center"/>
    </xf>
    <xf numFmtId="0" fontId="84" fillId="0" borderId="13" xfId="0" applyFont="1" applyBorder="1" applyAlignment="1" applyProtection="1">
      <alignment horizontal="center" vertical="center"/>
      <protection locked="0"/>
    </xf>
    <xf numFmtId="0" fontId="84" fillId="0" borderId="12" xfId="0" applyFont="1" applyBorder="1" applyAlignment="1" applyProtection="1">
      <alignment horizontal="center" vertical="center"/>
      <protection locked="0"/>
    </xf>
    <xf numFmtId="0" fontId="82" fillId="0" borderId="116" xfId="0" applyFont="1" applyBorder="1" applyAlignment="1">
      <alignment horizontal="left" vertical="center" wrapText="1"/>
    </xf>
    <xf numFmtId="0" fontId="84" fillId="0" borderId="15" xfId="0" applyFont="1" applyBorder="1" applyAlignment="1">
      <alignment vertical="center"/>
    </xf>
    <xf numFmtId="0" fontId="82" fillId="0" borderId="16" xfId="0" applyFont="1" applyBorder="1" applyAlignment="1">
      <alignment horizontal="left" vertical="center" wrapText="1"/>
    </xf>
    <xf numFmtId="0" fontId="82" fillId="0" borderId="15" xfId="0" applyFont="1" applyBorder="1" applyAlignment="1">
      <alignment vertical="center" wrapText="1"/>
    </xf>
    <xf numFmtId="0" fontId="82" fillId="0" borderId="16" xfId="0" applyFont="1" applyBorder="1" applyAlignment="1">
      <alignment horizontal="left" vertical="center"/>
    </xf>
    <xf numFmtId="0" fontId="82" fillId="0" borderId="36" xfId="0" applyFont="1" applyBorder="1" applyAlignment="1">
      <alignment vertical="center"/>
    </xf>
    <xf numFmtId="0" fontId="82" fillId="0" borderId="15" xfId="0" applyFont="1" applyBorder="1" applyAlignment="1">
      <alignment horizontal="center" vertical="center"/>
    </xf>
    <xf numFmtId="0" fontId="82" fillId="0" borderId="16" xfId="0" applyFont="1" applyBorder="1" applyAlignment="1">
      <alignment vertical="center"/>
    </xf>
    <xf numFmtId="0" fontId="82" fillId="0" borderId="99" xfId="0" applyFont="1" applyBorder="1" applyAlignment="1">
      <alignment vertical="center"/>
    </xf>
    <xf numFmtId="0" fontId="82" fillId="0" borderId="98" xfId="0" applyFont="1" applyBorder="1" applyAlignment="1">
      <alignment vertical="center"/>
    </xf>
    <xf numFmtId="0" fontId="84" fillId="0" borderId="101" xfId="0" applyFont="1" applyBorder="1" applyAlignment="1">
      <alignment vertical="center"/>
    </xf>
    <xf numFmtId="0" fontId="82" fillId="0" borderId="101" xfId="0" applyFont="1" applyBorder="1" applyAlignment="1">
      <alignment vertical="center"/>
    </xf>
    <xf numFmtId="0" fontId="84" fillId="0" borderId="101" xfId="0" applyFont="1" applyBorder="1" applyAlignment="1" applyProtection="1">
      <alignment horizontal="center" vertical="center"/>
      <protection locked="0"/>
    </xf>
    <xf numFmtId="0" fontId="84" fillId="0" borderId="100" xfId="0" applyFont="1" applyBorder="1" applyAlignment="1" applyProtection="1">
      <alignment horizontal="center" vertical="center"/>
      <protection locked="0"/>
    </xf>
    <xf numFmtId="0" fontId="82" fillId="0" borderId="96" xfId="0" applyFont="1" applyBorder="1" applyAlignment="1">
      <alignment horizontal="left" vertical="center" wrapText="1"/>
    </xf>
    <xf numFmtId="0" fontId="84" fillId="0" borderId="40" xfId="0" applyFont="1" applyBorder="1" applyAlignment="1">
      <alignment vertical="center"/>
    </xf>
    <xf numFmtId="0" fontId="82" fillId="0" borderId="17" xfId="0" applyFont="1" applyBorder="1" applyAlignment="1">
      <alignment horizontal="left" vertical="center" wrapText="1"/>
    </xf>
    <xf numFmtId="0" fontId="82" fillId="0" borderId="40" xfId="0" applyFont="1" applyBorder="1" applyAlignment="1">
      <alignment vertical="center" wrapText="1"/>
    </xf>
    <xf numFmtId="0" fontId="82" fillId="0" borderId="17" xfId="0" applyFont="1" applyBorder="1" applyAlignment="1">
      <alignment horizontal="left" vertical="center"/>
    </xf>
    <xf numFmtId="0" fontId="82" fillId="0" borderId="30" xfId="0" applyFont="1" applyBorder="1" applyAlignment="1">
      <alignment vertical="center"/>
    </xf>
    <xf numFmtId="0" fontId="82" fillId="0" borderId="40" xfId="0" applyFont="1" applyBorder="1" applyAlignment="1">
      <alignment horizontal="center" vertical="center"/>
    </xf>
    <xf numFmtId="0" fontId="82" fillId="0" borderId="17" xfId="0" applyFont="1" applyBorder="1" applyAlignment="1">
      <alignment vertical="center"/>
    </xf>
    <xf numFmtId="0" fontId="84" fillId="0" borderId="99" xfId="0" applyFont="1" applyBorder="1" applyAlignment="1">
      <alignment horizontal="left" vertical="center"/>
    </xf>
    <xf numFmtId="0" fontId="84" fillId="0" borderId="98" xfId="0" applyFont="1" applyBorder="1" applyAlignment="1">
      <alignment horizontal="left" vertical="center"/>
    </xf>
    <xf numFmtId="0" fontId="82" fillId="0" borderId="96" xfId="0" applyFont="1" applyBorder="1" applyAlignment="1">
      <alignment horizontal="left" vertical="center"/>
    </xf>
    <xf numFmtId="0" fontId="82" fillId="0" borderId="99" xfId="0" applyFont="1" applyBorder="1" applyAlignment="1">
      <alignment horizontal="left" vertical="center"/>
    </xf>
    <xf numFmtId="0" fontId="82" fillId="0" borderId="98" xfId="0" applyFont="1" applyBorder="1" applyAlignment="1">
      <alignment horizontal="left" vertical="center"/>
    </xf>
    <xf numFmtId="0" fontId="84" fillId="0" borderId="98" xfId="0" applyFont="1" applyBorder="1" applyAlignment="1" applyProtection="1">
      <alignment horizontal="center" vertical="center"/>
      <protection locked="0"/>
    </xf>
    <xf numFmtId="0" fontId="84" fillId="0" borderId="97" xfId="0" applyFont="1" applyBorder="1" applyAlignment="1" applyProtection="1">
      <alignment horizontal="center" vertical="center"/>
      <protection locked="0"/>
    </xf>
    <xf numFmtId="0" fontId="85" fillId="0" borderId="99" xfId="0" applyFont="1" applyBorder="1" applyAlignment="1">
      <alignment horizontal="left" vertical="center"/>
    </xf>
    <xf numFmtId="0" fontId="85" fillId="0" borderId="98" xfId="0" applyFont="1" applyBorder="1" applyAlignment="1">
      <alignment horizontal="left" vertical="center"/>
    </xf>
    <xf numFmtId="0" fontId="84" fillId="0" borderId="17" xfId="0" applyFont="1" applyBorder="1" applyAlignment="1" applyProtection="1">
      <alignment horizontal="center" vertical="center"/>
      <protection locked="0"/>
    </xf>
    <xf numFmtId="0" fontId="82" fillId="0" borderId="96" xfId="0" applyFont="1" applyBorder="1" applyAlignment="1">
      <alignment vertical="center" wrapText="1"/>
    </xf>
    <xf numFmtId="0" fontId="82" fillId="0" borderId="30" xfId="0" applyFont="1" applyBorder="1" applyAlignment="1">
      <alignment vertical="center" wrapText="1"/>
    </xf>
    <xf numFmtId="0" fontId="82" fillId="0" borderId="103" xfId="0" applyFont="1" applyBorder="1" applyAlignment="1">
      <alignment horizontal="left" vertical="center"/>
    </xf>
    <xf numFmtId="0" fontId="82" fillId="0" borderId="101" xfId="0" applyFont="1" applyBorder="1" applyAlignment="1">
      <alignment horizontal="left" vertical="center"/>
    </xf>
    <xf numFmtId="0" fontId="82" fillId="0" borderId="101" xfId="0" applyFont="1" applyBorder="1" applyAlignment="1">
      <alignment horizontal="left" vertical="center"/>
    </xf>
    <xf numFmtId="0" fontId="84" fillId="0" borderId="101" xfId="0" applyFont="1" applyBorder="1" applyAlignment="1" applyProtection="1">
      <alignment horizontal="center" vertical="center" wrapText="1"/>
      <protection locked="0"/>
    </xf>
    <xf numFmtId="0" fontId="82" fillId="0" borderId="157" xfId="0" applyFont="1" applyBorder="1" applyAlignment="1">
      <alignment horizontal="left" vertical="center" wrapText="1"/>
    </xf>
    <xf numFmtId="0" fontId="82" fillId="0" borderId="81" xfId="0" applyFont="1" applyBorder="1" applyAlignment="1">
      <alignment horizontal="left" vertical="center"/>
    </xf>
    <xf numFmtId="0" fontId="82" fillId="0" borderId="80" xfId="0" applyFont="1" applyBorder="1" applyAlignment="1">
      <alignment horizontal="left" vertical="center"/>
    </xf>
    <xf numFmtId="0" fontId="82" fillId="0" borderId="0" xfId="0" applyFont="1" applyAlignment="1">
      <alignment horizontal="left" vertical="center"/>
    </xf>
    <xf numFmtId="0" fontId="84" fillId="0" borderId="0" xfId="0" applyFont="1" applyAlignment="1" applyProtection="1">
      <alignment horizontal="center" vertical="center" wrapText="1"/>
      <protection locked="0"/>
    </xf>
    <xf numFmtId="0" fontId="82" fillId="0" borderId="102" xfId="0" applyFont="1" applyBorder="1" applyAlignment="1">
      <alignment horizontal="left" vertical="center" wrapText="1"/>
    </xf>
    <xf numFmtId="0" fontId="84" fillId="0" borderId="98" xfId="0" applyFont="1" applyBorder="1" applyAlignment="1">
      <alignment vertical="center"/>
    </xf>
    <xf numFmtId="0" fontId="82" fillId="0" borderId="99" xfId="0" applyFont="1" applyBorder="1" applyAlignment="1">
      <alignment vertical="top"/>
    </xf>
    <xf numFmtId="0" fontId="82" fillId="0" borderId="98" xfId="0" applyFont="1" applyBorder="1" applyAlignment="1">
      <alignment horizontal="left" vertical="center" wrapText="1"/>
    </xf>
    <xf numFmtId="0" fontId="82" fillId="0" borderId="97" xfId="0" applyFont="1" applyBorder="1" applyAlignment="1">
      <alignment vertical="center"/>
    </xf>
    <xf numFmtId="0" fontId="82" fillId="0" borderId="40" xfId="0" applyFont="1" applyBorder="1" applyAlignment="1">
      <alignment vertical="center"/>
    </xf>
    <xf numFmtId="0" fontId="82" fillId="0" borderId="40" xfId="0" applyFont="1" applyBorder="1" applyAlignment="1">
      <alignment vertical="top"/>
    </xf>
    <xf numFmtId="0" fontId="84" fillId="0" borderId="95" xfId="0" applyFont="1" applyBorder="1" applyAlignment="1">
      <alignment horizontal="left" vertical="center"/>
    </xf>
    <xf numFmtId="0" fontId="84" fillId="0" borderId="94" xfId="0" applyFont="1" applyBorder="1" applyAlignment="1">
      <alignment horizontal="left" vertical="center"/>
    </xf>
    <xf numFmtId="0" fontId="82" fillId="0" borderId="94" xfId="0" applyFont="1" applyBorder="1" applyAlignment="1">
      <alignment horizontal="left" vertical="center"/>
    </xf>
    <xf numFmtId="0" fontId="84" fillId="0" borderId="94" xfId="0" applyFont="1" applyBorder="1" applyAlignment="1" applyProtection="1">
      <alignment horizontal="center" vertical="center"/>
      <protection locked="0"/>
    </xf>
    <xf numFmtId="0" fontId="82" fillId="0" borderId="94" xfId="0" applyFont="1" applyBorder="1" applyAlignment="1">
      <alignment vertical="center"/>
    </xf>
    <xf numFmtId="0" fontId="84" fillId="0" borderId="93" xfId="0" applyFont="1" applyBorder="1" applyAlignment="1" applyProtection="1">
      <alignment horizontal="center" vertical="center"/>
      <protection locked="0"/>
    </xf>
    <xf numFmtId="0" fontId="82" fillId="0" borderId="92" xfId="0" applyFont="1" applyBorder="1" applyAlignment="1">
      <alignment horizontal="left" vertical="center"/>
    </xf>
    <xf numFmtId="0" fontId="82" fillId="0" borderId="1" xfId="0" applyFont="1" applyBorder="1" applyAlignment="1">
      <alignment vertical="center"/>
    </xf>
    <xf numFmtId="0" fontId="82" fillId="0" borderId="3" xfId="0" applyFont="1" applyBorder="1" applyAlignment="1">
      <alignment horizontal="left" vertical="center" wrapText="1"/>
    </xf>
    <xf numFmtId="0" fontId="82" fillId="0" borderId="1" xfId="0" applyFont="1" applyBorder="1" applyAlignment="1">
      <alignment vertical="center" wrapText="1"/>
    </xf>
    <xf numFmtId="0" fontId="82" fillId="0" borderId="25" xfId="0" applyFont="1" applyBorder="1" applyAlignment="1">
      <alignment vertical="center" wrapText="1"/>
    </xf>
    <xf numFmtId="0" fontId="82" fillId="0" borderId="1" xfId="0" applyFont="1" applyBorder="1" applyAlignment="1">
      <alignment horizontal="center" vertical="center"/>
    </xf>
    <xf numFmtId="0" fontId="82" fillId="0" borderId="3" xfId="0" applyFont="1" applyBorder="1" applyAlignment="1">
      <alignment vertical="center"/>
    </xf>
    <xf numFmtId="0" fontId="82" fillId="0" borderId="15" xfId="0" applyFont="1" applyBorder="1" applyAlignment="1">
      <alignment vertical="center"/>
    </xf>
    <xf numFmtId="0" fontId="82" fillId="0" borderId="5" xfId="0" applyFont="1" applyBorder="1" applyAlignment="1">
      <alignment vertical="center"/>
    </xf>
    <xf numFmtId="0" fontId="84" fillId="0" borderId="5" xfId="0" applyFont="1" applyBorder="1" applyAlignment="1">
      <alignment vertical="center"/>
    </xf>
    <xf numFmtId="0" fontId="84" fillId="0" borderId="5" xfId="0" applyFont="1" applyBorder="1" applyAlignment="1" applyProtection="1">
      <alignment horizontal="center" vertical="center"/>
      <protection locked="0"/>
    </xf>
    <xf numFmtId="0" fontId="84" fillId="0" borderId="16" xfId="0" applyFont="1" applyBorder="1" applyAlignment="1" applyProtection="1">
      <alignment horizontal="center" vertical="center"/>
      <protection locked="0"/>
    </xf>
    <xf numFmtId="0" fontId="82" fillId="0" borderId="36" xfId="0" applyFont="1" applyBorder="1" applyAlignment="1">
      <alignment horizontal="left" vertical="center" wrapText="1"/>
    </xf>
    <xf numFmtId="0" fontId="82" fillId="0" borderId="103" xfId="0" applyFont="1" applyBorder="1" applyAlignment="1">
      <alignment vertical="center"/>
    </xf>
    <xf numFmtId="0" fontId="84" fillId="0" borderId="101" xfId="0" applyFont="1" applyBorder="1" applyAlignment="1">
      <alignment horizontal="center" vertical="center"/>
    </xf>
    <xf numFmtId="0" fontId="84" fillId="0" borderId="0" xfId="0" applyFont="1" applyAlignment="1">
      <alignment horizontal="center" vertical="center"/>
    </xf>
    <xf numFmtId="0" fontId="82" fillId="0" borderId="0" xfId="0" applyFont="1" applyAlignment="1">
      <alignment horizontal="left" vertical="center" wrapText="1"/>
    </xf>
    <xf numFmtId="0" fontId="84" fillId="0" borderId="101" xfId="0" applyFont="1" applyBorder="1" applyAlignment="1" applyProtection="1">
      <alignment horizontal="center" vertical="center"/>
      <protection locked="0"/>
    </xf>
    <xf numFmtId="0" fontId="84" fillId="0" borderId="100" xfId="0" applyFont="1" applyBorder="1" applyAlignment="1" applyProtection="1">
      <alignment horizontal="center" vertical="center"/>
      <protection locked="0"/>
    </xf>
    <xf numFmtId="0" fontId="84" fillId="0" borderId="0" xfId="0" applyFont="1" applyAlignment="1" applyProtection="1">
      <alignment horizontal="center" vertical="center"/>
      <protection locked="0"/>
    </xf>
    <xf numFmtId="0" fontId="84" fillId="0" borderId="17" xfId="0" applyFont="1" applyBorder="1" applyAlignment="1" applyProtection="1">
      <alignment horizontal="center" vertical="center"/>
      <protection locked="0"/>
    </xf>
    <xf numFmtId="0" fontId="82" fillId="0" borderId="30" xfId="0" applyFont="1" applyBorder="1" applyAlignment="1">
      <alignment horizontal="left" vertical="center" wrapText="1"/>
    </xf>
    <xf numFmtId="0" fontId="85" fillId="0" borderId="98" xfId="0" applyFont="1" applyBorder="1" applyAlignment="1">
      <alignment vertical="center"/>
    </xf>
    <xf numFmtId="0" fontId="87" fillId="0" borderId="98" xfId="0" applyFont="1" applyBorder="1" applyAlignment="1">
      <alignment horizontal="center" vertical="center"/>
    </xf>
    <xf numFmtId="0" fontId="84" fillId="0" borderId="17" xfId="0" applyFont="1" applyBorder="1" applyAlignment="1">
      <alignment horizontal="center" vertical="center"/>
    </xf>
    <xf numFmtId="0" fontId="84" fillId="0" borderId="103" xfId="0" applyFont="1" applyBorder="1" applyAlignment="1">
      <alignment horizontal="left" vertical="center"/>
    </xf>
    <xf numFmtId="0" fontId="84" fillId="0" borderId="101" xfId="0" applyFont="1" applyBorder="1" applyAlignment="1">
      <alignment horizontal="left" vertical="center"/>
    </xf>
    <xf numFmtId="0" fontId="84" fillId="0" borderId="81" xfId="0" applyFont="1" applyBorder="1" applyAlignment="1">
      <alignment horizontal="left" vertical="center"/>
    </xf>
    <xf numFmtId="0" fontId="84" fillId="0" borderId="80" xfId="0" applyFont="1" applyBorder="1" applyAlignment="1">
      <alignment horizontal="left" vertical="center"/>
    </xf>
    <xf numFmtId="0" fontId="82" fillId="0" borderId="80" xfId="0" applyFont="1" applyBorder="1" applyAlignment="1">
      <alignment horizontal="left" vertical="center"/>
    </xf>
    <xf numFmtId="0" fontId="84" fillId="0" borderId="80" xfId="0" applyFont="1" applyBorder="1" applyAlignment="1" applyProtection="1">
      <alignment horizontal="center" vertical="center" wrapText="1"/>
      <protection locked="0"/>
    </xf>
    <xf numFmtId="0" fontId="84" fillId="0" borderId="103" xfId="0" applyFont="1" applyBorder="1" applyAlignment="1">
      <alignment vertical="center"/>
    </xf>
    <xf numFmtId="0" fontId="82" fillId="0" borderId="157" xfId="0" applyFont="1" applyBorder="1" applyAlignment="1">
      <alignment horizontal="left" vertical="center"/>
    </xf>
    <xf numFmtId="0" fontId="80" fillId="9" borderId="99" xfId="0" applyFont="1" applyFill="1" applyBorder="1" applyAlignment="1">
      <alignment vertical="top"/>
    </xf>
    <xf numFmtId="0" fontId="88" fillId="9" borderId="98" xfId="0" applyFont="1" applyFill="1" applyBorder="1" applyAlignment="1">
      <alignment horizontal="left" vertical="center"/>
    </xf>
    <xf numFmtId="0" fontId="80" fillId="9" borderId="98" xfId="0" applyFont="1" applyFill="1" applyBorder="1" applyAlignment="1">
      <alignment vertical="top"/>
    </xf>
    <xf numFmtId="0" fontId="80" fillId="9" borderId="98" xfId="0" applyFont="1" applyFill="1" applyBorder="1" applyAlignment="1">
      <alignment vertical="center"/>
    </xf>
    <xf numFmtId="0" fontId="88" fillId="9" borderId="98" xfId="0" applyFont="1" applyFill="1" applyBorder="1" applyAlignment="1">
      <alignment horizontal="center" vertical="center"/>
    </xf>
    <xf numFmtId="0" fontId="88" fillId="0" borderId="98" xfId="0" applyFont="1" applyBorder="1" applyAlignment="1" applyProtection="1">
      <alignment horizontal="center" vertical="center"/>
      <protection locked="0"/>
    </xf>
    <xf numFmtId="0" fontId="80" fillId="9" borderId="98" xfId="0" applyFont="1" applyFill="1" applyBorder="1" applyAlignment="1">
      <alignment horizontal="left" vertical="center" wrapText="1"/>
    </xf>
    <xf numFmtId="0" fontId="88" fillId="9" borderId="98" xfId="0" applyFont="1" applyFill="1" applyBorder="1" applyAlignment="1">
      <alignment vertical="center"/>
    </xf>
    <xf numFmtId="0" fontId="88" fillId="0" borderId="97" xfId="0" applyFont="1" applyBorder="1" applyAlignment="1" applyProtection="1">
      <alignment horizontal="center" vertical="center"/>
      <protection locked="0"/>
    </xf>
    <xf numFmtId="0" fontId="80" fillId="9" borderId="97" xfId="0" applyFont="1" applyFill="1" applyBorder="1" applyAlignment="1">
      <alignment vertical="center"/>
    </xf>
    <xf numFmtId="0" fontId="82" fillId="0" borderId="95" xfId="0" applyFont="1" applyBorder="1" applyAlignment="1">
      <alignment vertical="center"/>
    </xf>
    <xf numFmtId="0" fontId="82" fillId="0" borderId="94" xfId="0" applyFont="1" applyBorder="1" applyAlignment="1">
      <alignment horizontal="left" vertical="center" wrapText="1"/>
    </xf>
    <xf numFmtId="0" fontId="84" fillId="0" borderId="94" xfId="0" applyFont="1" applyBorder="1" applyAlignment="1">
      <alignment vertical="center"/>
    </xf>
    <xf numFmtId="0" fontId="82" fillId="0" borderId="93" xfId="0" applyFont="1" applyBorder="1" applyAlignment="1">
      <alignment vertical="center"/>
    </xf>
    <xf numFmtId="0" fontId="82" fillId="0" borderId="3" xfId="0" applyFont="1" applyBorder="1" applyAlignment="1">
      <alignment horizontal="left" vertical="center"/>
    </xf>
    <xf numFmtId="0" fontId="82" fillId="0" borderId="25" xfId="0" applyFont="1" applyBorder="1" applyAlignment="1">
      <alignment vertical="center"/>
    </xf>
    <xf numFmtId="0" fontId="84" fillId="0" borderId="40" xfId="0" applyFont="1" applyBorder="1" applyAlignment="1">
      <alignment horizontal="left" vertical="center"/>
    </xf>
    <xf numFmtId="0" fontId="84" fillId="0" borderId="0" xfId="0" applyFont="1" applyAlignment="1">
      <alignment horizontal="left" vertical="center"/>
    </xf>
    <xf numFmtId="0" fontId="82" fillId="0" borderId="30" xfId="0" applyFont="1" applyBorder="1" applyAlignment="1">
      <alignment vertical="center" wrapText="1"/>
    </xf>
    <xf numFmtId="0" fontId="82" fillId="0" borderId="102" xfId="0" applyFont="1" applyBorder="1" applyAlignment="1">
      <alignment vertical="center" wrapText="1"/>
    </xf>
    <xf numFmtId="0" fontId="82" fillId="0" borderId="157" xfId="0" applyFont="1" applyBorder="1" applyAlignment="1">
      <alignment vertical="center" wrapText="1"/>
    </xf>
    <xf numFmtId="0" fontId="82" fillId="0" borderId="157" xfId="0" applyFont="1" applyBorder="1" applyAlignment="1">
      <alignment vertical="center" wrapText="1" shrinkToFit="1"/>
    </xf>
    <xf numFmtId="0" fontId="88" fillId="9" borderId="158" xfId="0" applyFont="1" applyFill="1" applyBorder="1" applyAlignment="1">
      <alignment horizontal="left" vertical="center"/>
    </xf>
    <xf numFmtId="0" fontId="88" fillId="9" borderId="101" xfId="0" applyFont="1" applyFill="1" applyBorder="1" applyAlignment="1">
      <alignment horizontal="left" vertical="center"/>
    </xf>
    <xf numFmtId="0" fontId="88" fillId="9" borderId="159" xfId="0" applyFont="1" applyFill="1" applyBorder="1" applyAlignment="1">
      <alignment horizontal="left" vertical="center"/>
    </xf>
    <xf numFmtId="0" fontId="84" fillId="0" borderId="15" xfId="0" applyFont="1" applyBorder="1" applyAlignment="1">
      <alignment horizontal="left" vertical="center"/>
    </xf>
    <xf numFmtId="0" fontId="84" fillId="0" borderId="5" xfId="0" applyFont="1" applyBorder="1" applyAlignment="1">
      <alignment horizontal="left" vertical="center"/>
    </xf>
    <xf numFmtId="0" fontId="82" fillId="0" borderId="101" xfId="0" applyFont="1" applyBorder="1" applyAlignment="1" applyProtection="1">
      <alignment horizontal="center" vertical="center" wrapText="1"/>
      <protection locked="0"/>
    </xf>
    <xf numFmtId="0" fontId="82" fillId="0" borderId="80" xfId="0" applyFont="1" applyBorder="1" applyAlignment="1" applyProtection="1">
      <alignment horizontal="center" vertical="center" wrapText="1"/>
      <protection locked="0"/>
    </xf>
    <xf numFmtId="0" fontId="82" fillId="0" borderId="96" xfId="0" applyFont="1" applyBorder="1" applyAlignment="1">
      <alignment vertical="center"/>
    </xf>
    <xf numFmtId="0" fontId="84" fillId="0" borderId="103" xfId="0" applyFont="1" applyBorder="1" applyAlignment="1">
      <alignment horizontal="center" vertical="center"/>
    </xf>
    <xf numFmtId="0" fontId="84" fillId="0" borderId="101" xfId="0" applyFont="1" applyBorder="1" applyAlignment="1">
      <alignment horizontal="center" vertical="center"/>
    </xf>
    <xf numFmtId="0" fontId="84" fillId="0" borderId="81" xfId="0" applyFont="1" applyBorder="1" applyAlignment="1">
      <alignment horizontal="center" vertical="center"/>
    </xf>
    <xf numFmtId="0" fontId="84" fillId="0" borderId="80" xfId="0" applyFont="1" applyBorder="1" applyAlignment="1">
      <alignment horizontal="center" vertical="center"/>
    </xf>
    <xf numFmtId="0" fontId="84" fillId="0" borderId="79" xfId="0" applyFont="1" applyBorder="1" applyAlignment="1" applyProtection="1">
      <alignment horizontal="center" vertical="center"/>
      <protection locked="0"/>
    </xf>
    <xf numFmtId="0" fontId="88" fillId="9" borderId="80" xfId="0" applyFont="1" applyFill="1" applyBorder="1" applyAlignment="1">
      <alignment horizontal="left" vertical="center"/>
    </xf>
    <xf numFmtId="0" fontId="84" fillId="0" borderId="1" xfId="0" applyFont="1" applyBorder="1" applyAlignment="1">
      <alignment horizontal="left" vertical="center"/>
    </xf>
    <xf numFmtId="0" fontId="84" fillId="0" borderId="4" xfId="0" applyFont="1" applyBorder="1" applyAlignment="1">
      <alignment horizontal="left" vertical="center"/>
    </xf>
    <xf numFmtId="0" fontId="82" fillId="0" borderId="4" xfId="0" applyFont="1" applyBorder="1" applyAlignment="1">
      <alignment vertical="center"/>
    </xf>
    <xf numFmtId="0" fontId="84" fillId="0" borderId="3" xfId="0" applyFont="1" applyBorder="1" applyAlignment="1" applyProtection="1">
      <alignment horizontal="center" vertical="center"/>
      <protection locked="0"/>
    </xf>
    <xf numFmtId="0" fontId="82" fillId="0" borderId="25" xfId="0" applyFont="1" applyBorder="1" applyAlignment="1">
      <alignment vertical="center" wrapText="1"/>
    </xf>
    <xf numFmtId="0" fontId="82" fillId="0" borderId="15" xfId="0" applyFont="1" applyBorder="1" applyAlignment="1">
      <alignment horizontal="left" vertical="center"/>
    </xf>
    <xf numFmtId="0" fontId="82" fillId="0" borderId="5" xfId="0" applyFont="1" applyBorder="1" applyAlignment="1">
      <alignment horizontal="left" vertical="center"/>
    </xf>
    <xf numFmtId="0" fontId="82" fillId="0" borderId="5" xfId="0" applyFont="1" applyBorder="1" applyAlignment="1">
      <alignment vertical="center" wrapText="1"/>
    </xf>
    <xf numFmtId="0" fontId="84" fillId="0" borderId="0" xfId="0" applyFont="1" applyAlignment="1" applyProtection="1">
      <alignment horizontal="center" vertical="center"/>
      <protection locked="0"/>
    </xf>
    <xf numFmtId="0" fontId="82" fillId="0" borderId="36" xfId="0" applyFont="1" applyBorder="1" applyAlignment="1">
      <alignment horizontal="left" vertical="center"/>
    </xf>
    <xf numFmtId="0" fontId="82" fillId="0" borderId="16" xfId="0" applyFont="1" applyBorder="1" applyAlignment="1">
      <alignment horizontal="center" vertical="center"/>
    </xf>
    <xf numFmtId="0" fontId="82" fillId="0" borderId="15" xfId="0" applyFont="1" applyBorder="1" applyAlignment="1">
      <alignment horizontal="center" vertical="center"/>
    </xf>
    <xf numFmtId="0" fontId="82" fillId="0" borderId="5" xfId="0" applyFont="1" applyBorder="1" applyAlignment="1">
      <alignment horizontal="center" vertical="center"/>
    </xf>
    <xf numFmtId="0" fontId="82" fillId="0" borderId="16" xfId="0" applyFont="1" applyBorder="1" applyAlignment="1">
      <alignment horizontal="center" vertical="center"/>
    </xf>
    <xf numFmtId="0" fontId="82" fillId="0" borderId="4" xfId="0" applyFont="1" applyBorder="1" applyAlignment="1">
      <alignment vertical="center" wrapText="1"/>
    </xf>
    <xf numFmtId="0" fontId="82" fillId="0" borderId="25" xfId="0" applyFont="1" applyBorder="1" applyAlignment="1">
      <alignment horizontal="left" vertical="center"/>
    </xf>
    <xf numFmtId="0" fontId="82" fillId="0" borderId="1" xfId="0" applyFont="1" applyBorder="1" applyAlignment="1">
      <alignment horizontal="left" vertical="center"/>
    </xf>
    <xf numFmtId="0" fontId="82" fillId="0" borderId="3" xfId="0" applyFont="1" applyBorder="1" applyAlignment="1">
      <alignment horizontal="center" vertical="center"/>
    </xf>
    <xf numFmtId="0" fontId="82" fillId="0" borderId="1" xfId="0" applyFont="1" applyBorder="1" applyAlignment="1">
      <alignment horizontal="center" vertical="center"/>
    </xf>
    <xf numFmtId="0" fontId="82" fillId="0" borderId="4" xfId="0" applyFont="1" applyBorder="1" applyAlignment="1">
      <alignment horizontal="center" vertical="center"/>
    </xf>
    <xf numFmtId="0" fontId="82" fillId="0" borderId="3" xfId="0" applyFont="1" applyBorder="1" applyAlignment="1">
      <alignment horizontal="center" vertical="center"/>
    </xf>
    <xf numFmtId="0" fontId="82" fillId="0" borderId="8" xfId="0" applyFont="1" applyBorder="1" applyAlignment="1">
      <alignment horizontal="center" vertical="center"/>
    </xf>
    <xf numFmtId="0" fontId="82" fillId="0" borderId="7" xfId="0" applyFont="1" applyBorder="1" applyAlignment="1">
      <alignment horizontal="center" vertical="center"/>
    </xf>
    <xf numFmtId="0" fontId="82" fillId="0" borderId="6" xfId="0" applyFont="1" applyBorder="1" applyAlignment="1">
      <alignment horizontal="center" vertical="center"/>
    </xf>
    <xf numFmtId="0" fontId="82" fillId="0" borderId="8" xfId="0" applyFont="1" applyBorder="1" applyAlignment="1">
      <alignment horizontal="center" vertical="center"/>
    </xf>
    <xf numFmtId="0" fontId="82" fillId="0" borderId="9" xfId="0" applyFont="1" applyBorder="1" applyAlignment="1">
      <alignment horizontal="center" vertical="center"/>
    </xf>
    <xf numFmtId="0" fontId="82" fillId="0" borderId="84" xfId="0" applyFont="1" applyBorder="1" applyAlignment="1">
      <alignment horizontal="center" vertical="center"/>
    </xf>
    <xf numFmtId="0" fontId="89" fillId="0" borderId="0" xfId="0" applyFont="1" applyAlignment="1">
      <alignment horizontal="center" vertical="center"/>
    </xf>
    <xf numFmtId="0" fontId="82" fillId="0" borderId="160" xfId="0" applyFont="1" applyBorder="1" applyAlignment="1">
      <alignment horizontal="center" vertical="center"/>
    </xf>
    <xf numFmtId="0" fontId="82" fillId="0" borderId="161" xfId="0" applyFont="1" applyBorder="1" applyAlignment="1">
      <alignment horizontal="center" vertical="center"/>
    </xf>
    <xf numFmtId="0" fontId="82" fillId="0" borderId="162" xfId="0" applyFont="1" applyBorder="1" applyAlignment="1">
      <alignment horizontal="center" vertical="center"/>
    </xf>
    <xf numFmtId="0" fontId="82" fillId="0" borderId="15" xfId="0" applyFont="1" applyBorder="1" applyAlignment="1">
      <alignment vertical="top"/>
    </xf>
    <xf numFmtId="0" fontId="82" fillId="0" borderId="5" xfId="0" applyFont="1" applyBorder="1" applyAlignment="1">
      <alignment vertical="top"/>
    </xf>
    <xf numFmtId="0" fontId="84" fillId="9" borderId="14" xfId="0" applyFont="1" applyFill="1" applyBorder="1" applyAlignment="1">
      <alignment horizontal="left" vertical="center"/>
    </xf>
    <xf numFmtId="0" fontId="84" fillId="9" borderId="13" xfId="0" applyFont="1" applyFill="1" applyBorder="1" applyAlignment="1">
      <alignment horizontal="left" vertical="center"/>
    </xf>
    <xf numFmtId="0" fontId="82" fillId="9" borderId="13" xfId="0" applyFont="1" applyFill="1" applyBorder="1" applyAlignment="1">
      <alignment vertical="center"/>
    </xf>
    <xf numFmtId="0" fontId="91" fillId="9" borderId="13" xfId="0" applyFont="1" applyFill="1" applyBorder="1" applyAlignment="1">
      <alignment vertical="center"/>
    </xf>
    <xf numFmtId="0" fontId="82" fillId="9" borderId="5" xfId="0" applyFont="1" applyFill="1" applyBorder="1" applyAlignment="1">
      <alignment vertical="center"/>
    </xf>
    <xf numFmtId="0" fontId="85" fillId="9" borderId="13" xfId="0" applyFont="1" applyFill="1" applyBorder="1" applyAlignment="1">
      <alignment vertical="center"/>
    </xf>
    <xf numFmtId="0" fontId="82" fillId="9" borderId="116" xfId="0" applyFont="1" applyFill="1" applyBorder="1" applyAlignment="1">
      <alignment horizontal="left" vertical="center" wrapText="1"/>
    </xf>
    <xf numFmtId="0" fontId="82" fillId="0" borderId="91" xfId="0" applyFont="1" applyBorder="1" applyAlignment="1">
      <alignment horizontal="center" vertical="center"/>
    </xf>
    <xf numFmtId="0" fontId="82" fillId="0" borderId="90" xfId="0" applyFont="1" applyBorder="1" applyAlignment="1">
      <alignment horizontal="center" vertical="center"/>
    </xf>
    <xf numFmtId="0" fontId="82" fillId="0" borderId="89" xfId="0" applyFont="1" applyBorder="1" applyAlignment="1">
      <alignment horizontal="center" vertical="center"/>
    </xf>
    <xf numFmtId="0" fontId="82" fillId="0" borderId="0" xfId="0" applyFont="1" applyAlignment="1">
      <alignment vertical="top"/>
    </xf>
    <xf numFmtId="0" fontId="82" fillId="0" borderId="17" xfId="0" applyFont="1" applyBorder="1" applyAlignment="1">
      <alignment vertical="top"/>
    </xf>
    <xf numFmtId="0" fontId="82" fillId="0" borderId="17" xfId="0" applyFont="1" applyBorder="1" applyAlignment="1">
      <alignment horizontal="left" vertical="center" shrinkToFit="1"/>
    </xf>
    <xf numFmtId="0" fontId="82" fillId="0" borderId="30" xfId="0" applyFont="1" applyBorder="1" applyAlignment="1">
      <alignment vertical="center" shrinkToFit="1"/>
    </xf>
    <xf numFmtId="0" fontId="82" fillId="0" borderId="102" xfId="0" applyFont="1" applyBorder="1" applyAlignment="1">
      <alignment vertical="center"/>
    </xf>
    <xf numFmtId="0" fontId="84" fillId="0" borderId="99" xfId="0" applyFont="1" applyBorder="1" applyAlignment="1">
      <alignment vertical="center"/>
    </xf>
    <xf numFmtId="0" fontId="84" fillId="0" borderId="80" xfId="0" applyFont="1" applyBorder="1" applyAlignment="1" applyProtection="1">
      <alignment horizontal="center" vertical="center"/>
      <protection locked="0"/>
    </xf>
    <xf numFmtId="0" fontId="84" fillId="0" borderId="98" xfId="0" applyFont="1" applyBorder="1" applyAlignment="1">
      <alignment horizontal="center" vertical="center"/>
    </xf>
    <xf numFmtId="0" fontId="82" fillId="0" borderId="157" xfId="0" applyFont="1" applyBorder="1" applyAlignment="1">
      <alignment horizontal="left" vertical="center"/>
    </xf>
    <xf numFmtId="0" fontId="84" fillId="0" borderId="80" xfId="0" applyFont="1" applyBorder="1" applyAlignment="1" applyProtection="1">
      <alignment horizontal="center" vertical="center"/>
      <protection locked="0"/>
    </xf>
    <xf numFmtId="0" fontId="82" fillId="0" borderId="80" xfId="0" applyFont="1" applyBorder="1" applyAlignment="1">
      <alignment vertical="center"/>
    </xf>
    <xf numFmtId="0" fontId="84" fillId="0" borderId="79" xfId="0" applyFont="1" applyBorder="1" applyAlignment="1" applyProtection="1">
      <alignment horizontal="center" vertical="center"/>
      <protection locked="0"/>
    </xf>
    <xf numFmtId="0" fontId="82" fillId="0" borderId="102" xfId="0" applyFont="1" applyBorder="1" applyAlignment="1">
      <alignment horizontal="left" vertical="center"/>
    </xf>
    <xf numFmtId="0" fontId="82" fillId="0" borderId="88" xfId="0" applyFont="1" applyBorder="1" applyAlignment="1">
      <alignment horizontal="center" vertical="center"/>
    </xf>
    <xf numFmtId="0" fontId="82" fillId="0" borderId="87" xfId="0" applyFont="1" applyBorder="1" applyAlignment="1">
      <alignment horizontal="center" vertical="center"/>
    </xf>
    <xf numFmtId="0" fontId="82" fillId="0" borderId="86" xfId="0" applyFont="1" applyBorder="1" applyAlignment="1">
      <alignment horizontal="center" vertical="center"/>
    </xf>
    <xf numFmtId="0" fontId="82" fillId="0" borderId="1" xfId="0" applyFont="1" applyBorder="1" applyAlignment="1">
      <alignment vertical="top"/>
    </xf>
    <xf numFmtId="0" fontId="82" fillId="0" borderId="4" xfId="0" applyFont="1" applyBorder="1" applyAlignment="1">
      <alignment horizontal="left" vertical="center"/>
    </xf>
    <xf numFmtId="0" fontId="84" fillId="0" borderId="4" xfId="0" applyFont="1" applyBorder="1" applyAlignment="1" applyProtection="1">
      <alignment horizontal="center" vertical="center"/>
      <protection locked="0"/>
    </xf>
    <xf numFmtId="0" fontId="84" fillId="0" borderId="4" xfId="0" applyFont="1" applyBorder="1" applyAlignment="1">
      <alignment vertical="center"/>
    </xf>
    <xf numFmtId="0" fontId="82" fillId="0" borderId="3" xfId="0" applyFont="1" applyBorder="1" applyAlignment="1">
      <alignment horizontal="left" vertical="center" shrinkToFit="1"/>
    </xf>
    <xf numFmtId="0" fontId="82" fillId="0" borderId="25" xfId="0" applyFont="1" applyBorder="1" applyAlignment="1">
      <alignment vertical="center" shrinkToFit="1"/>
    </xf>
    <xf numFmtId="0" fontId="82" fillId="0" borderId="103" xfId="0" applyFont="1" applyBorder="1" applyAlignment="1">
      <alignment horizontal="left" vertical="center"/>
    </xf>
    <xf numFmtId="0" fontId="82" fillId="0" borderId="81" xfId="0" applyFont="1" applyBorder="1" applyAlignment="1">
      <alignment horizontal="left" vertical="center"/>
    </xf>
    <xf numFmtId="0" fontId="82" fillId="0" borderId="80" xfId="0" applyFont="1" applyBorder="1" applyAlignment="1">
      <alignment horizontal="left" vertical="center" wrapText="1"/>
    </xf>
    <xf numFmtId="0" fontId="84" fillId="0" borderId="80" xfId="0" applyFont="1" applyBorder="1" applyAlignment="1">
      <alignment vertical="center"/>
    </xf>
    <xf numFmtId="0" fontId="0" fillId="14" borderId="103" xfId="0" applyFill="1" applyBorder="1" applyAlignment="1">
      <alignment horizontal="left" vertical="center"/>
    </xf>
    <xf numFmtId="0" fontId="0" fillId="14" borderId="101" xfId="0" applyFill="1" applyBorder="1" applyAlignment="1">
      <alignment horizontal="left" vertical="center"/>
    </xf>
    <xf numFmtId="0" fontId="4" fillId="14" borderId="101" xfId="0" applyFont="1" applyFill="1" applyBorder="1" applyAlignment="1">
      <alignment vertical="center"/>
    </xf>
    <xf numFmtId="0" fontId="0" fillId="14" borderId="101" xfId="0" applyFill="1" applyBorder="1" applyAlignment="1">
      <alignment horizontal="center" vertical="center"/>
    </xf>
    <xf numFmtId="0" fontId="4" fillId="14" borderId="101" xfId="0" applyFont="1" applyFill="1" applyBorder="1" applyAlignment="1">
      <alignment horizontal="left" vertical="center" wrapText="1"/>
    </xf>
    <xf numFmtId="0" fontId="0" fillId="14" borderId="101" xfId="0" applyFill="1" applyBorder="1" applyAlignment="1">
      <alignment vertical="center"/>
    </xf>
    <xf numFmtId="0" fontId="4" fillId="14" borderId="97" xfId="0" applyFont="1" applyFill="1" applyBorder="1" applyAlignment="1">
      <alignment vertical="center"/>
    </xf>
    <xf numFmtId="0" fontId="84" fillId="9" borderId="81" xfId="0" applyFont="1" applyFill="1" applyBorder="1" applyAlignment="1">
      <alignment horizontal="left" vertical="center"/>
    </xf>
    <xf numFmtId="0" fontId="84" fillId="9" borderId="80" xfId="0" applyFont="1" applyFill="1" applyBorder="1" applyAlignment="1">
      <alignment horizontal="left" vertical="center"/>
    </xf>
    <xf numFmtId="0" fontId="82" fillId="9" borderId="80" xfId="0" applyFont="1" applyFill="1" applyBorder="1" applyAlignment="1">
      <alignment vertical="center"/>
    </xf>
    <xf numFmtId="0" fontId="91" fillId="9" borderId="80" xfId="0" applyFont="1" applyFill="1" applyBorder="1" applyAlignment="1">
      <alignment vertical="center"/>
    </xf>
    <xf numFmtId="0" fontId="82" fillId="9" borderId="0" xfId="0" applyFont="1" applyFill="1" applyAlignment="1">
      <alignment vertical="center"/>
    </xf>
    <xf numFmtId="0" fontId="85" fillId="9" borderId="80" xfId="0" applyFont="1" applyFill="1" applyBorder="1" applyAlignment="1">
      <alignment vertical="center"/>
    </xf>
    <xf numFmtId="0" fontId="82" fillId="9" borderId="102" xfId="0" applyFont="1" applyFill="1" applyBorder="1" applyAlignment="1">
      <alignment horizontal="left" vertical="center" wrapText="1"/>
    </xf>
    <xf numFmtId="0" fontId="82" fillId="0" borderId="163" xfId="0" applyFont="1" applyBorder="1" applyAlignment="1">
      <alignment horizontal="center" vertical="center"/>
    </xf>
    <xf numFmtId="0" fontId="82" fillId="0" borderId="164" xfId="0" applyFont="1" applyBorder="1" applyAlignment="1">
      <alignment horizontal="center" vertical="center"/>
    </xf>
    <xf numFmtId="0" fontId="82" fillId="0" borderId="96" xfId="0" applyFont="1" applyBorder="1" applyAlignment="1">
      <alignment horizontal="left" vertical="center" shrinkToFit="1"/>
    </xf>
    <xf numFmtId="0" fontId="82" fillId="0" borderId="81" xfId="0" applyFont="1" applyBorder="1" applyAlignment="1">
      <alignment vertical="center"/>
    </xf>
    <xf numFmtId="0" fontId="82" fillId="0" borderId="40" xfId="0" applyFont="1" applyBorder="1" applyAlignment="1">
      <alignment horizontal="left" vertical="center"/>
    </xf>
    <xf numFmtId="0" fontId="82" fillId="0" borderId="30" xfId="0" applyFont="1" applyBorder="1" applyAlignment="1">
      <alignment horizontal="left" vertical="center"/>
    </xf>
    <xf numFmtId="0" fontId="82" fillId="0" borderId="165" xfId="0" applyFont="1" applyBorder="1" applyAlignment="1">
      <alignment horizontal="center" vertical="center"/>
    </xf>
    <xf numFmtId="0" fontId="84" fillId="0" borderId="95" xfId="0" applyFont="1" applyBorder="1" applyAlignment="1">
      <alignment vertical="center"/>
    </xf>
    <xf numFmtId="0" fontId="82" fillId="0" borderId="16" xfId="0" applyFont="1" applyBorder="1" applyAlignment="1">
      <alignment vertical="top"/>
    </xf>
    <xf numFmtId="0" fontId="84" fillId="0" borderId="14" xfId="0" applyFont="1" applyBorder="1" applyAlignment="1">
      <alignment vertical="center"/>
    </xf>
    <xf numFmtId="0" fontId="82" fillId="0" borderId="116" xfId="0" applyFont="1" applyBorder="1" applyAlignment="1">
      <alignment horizontal="left" vertical="center"/>
    </xf>
    <xf numFmtId="0" fontId="82" fillId="0" borderId="16" xfId="0" applyFont="1" applyBorder="1" applyAlignment="1">
      <alignment horizontal="center" vertical="center" wrapText="1"/>
    </xf>
    <xf numFmtId="0" fontId="82" fillId="0" borderId="17" xfId="0" applyFont="1" applyBorder="1" applyAlignment="1">
      <alignment horizontal="center" vertical="center" wrapText="1"/>
    </xf>
    <xf numFmtId="0" fontId="82" fillId="0" borderId="5" xfId="0" applyFont="1" applyBorder="1" applyAlignment="1">
      <alignment horizontal="left" vertical="center"/>
    </xf>
    <xf numFmtId="0" fontId="84" fillId="0" borderId="98" xfId="0" applyFont="1" applyBorder="1" applyAlignment="1" applyProtection="1">
      <alignment horizontal="center" vertical="center" wrapText="1"/>
      <protection locked="0"/>
    </xf>
    <xf numFmtId="0" fontId="82" fillId="0" borderId="98" xfId="0" applyFont="1" applyBorder="1" applyAlignment="1">
      <alignment horizontal="left" vertical="center"/>
    </xf>
    <xf numFmtId="0" fontId="84" fillId="0" borderId="97" xfId="0" applyFont="1" applyBorder="1" applyAlignment="1" applyProtection="1">
      <alignment horizontal="center" vertical="center" wrapText="1"/>
      <protection locked="0"/>
    </xf>
    <xf numFmtId="0" fontId="82" fillId="0" borderId="166" xfId="0" applyFont="1" applyBorder="1" applyAlignment="1">
      <alignment horizontal="center" vertical="center"/>
    </xf>
    <xf numFmtId="0" fontId="84" fillId="0" borderId="0" xfId="0" applyFont="1" applyAlignment="1">
      <alignment vertical="center"/>
    </xf>
    <xf numFmtId="0" fontId="84" fillId="0" borderId="1" xfId="0" applyFont="1" applyBorder="1" applyAlignment="1">
      <alignment vertical="center"/>
    </xf>
    <xf numFmtId="0" fontId="82" fillId="0" borderId="4" xfId="0" applyFont="1" applyBorder="1" applyAlignment="1">
      <alignment horizontal="left" vertical="center"/>
    </xf>
    <xf numFmtId="0" fontId="84" fillId="0" borderId="4" xfId="0" applyFont="1" applyBorder="1" applyAlignment="1" applyProtection="1">
      <alignment horizontal="center" vertical="center"/>
      <protection locked="0"/>
    </xf>
    <xf numFmtId="0" fontId="84" fillId="0" borderId="3" xfId="0" applyFont="1" applyBorder="1" applyAlignment="1" applyProtection="1">
      <alignment horizontal="center" vertical="center"/>
      <protection locked="0"/>
    </xf>
    <xf numFmtId="0" fontId="82" fillId="0" borderId="25" xfId="0" applyFont="1" applyBorder="1" applyAlignment="1">
      <alignment horizontal="left" vertical="center" wrapText="1"/>
    </xf>
    <xf numFmtId="0" fontId="82" fillId="0" borderId="3" xfId="0" applyFont="1" applyBorder="1" applyAlignment="1">
      <alignment horizontal="center" vertical="center" wrapText="1"/>
    </xf>
    <xf numFmtId="0" fontId="0" fillId="0" borderId="160" xfId="0" applyBorder="1"/>
    <xf numFmtId="0" fontId="0" fillId="0" borderId="161" xfId="0" applyBorder="1"/>
    <xf numFmtId="0" fontId="0" fillId="0" borderId="162" xfId="0" applyBorder="1"/>
    <xf numFmtId="0" fontId="84" fillId="0" borderId="5" xfId="0" applyFont="1" applyBorder="1" applyAlignment="1" applyProtection="1">
      <alignment horizontal="center" vertical="center" wrapText="1"/>
      <protection locked="0"/>
    </xf>
    <xf numFmtId="0" fontId="84" fillId="0" borderId="16" xfId="0" applyFont="1" applyBorder="1" applyAlignment="1" applyProtection="1">
      <alignment horizontal="center" vertical="center" wrapText="1"/>
      <protection locked="0"/>
    </xf>
    <xf numFmtId="0" fontId="82" fillId="0" borderId="36" xfId="0" applyFont="1" applyBorder="1" applyAlignment="1">
      <alignment horizontal="left" vertical="center" wrapText="1"/>
    </xf>
    <xf numFmtId="0" fontId="0" fillId="0" borderId="91" xfId="0" applyBorder="1"/>
    <xf numFmtId="0" fontId="0" fillId="0" borderId="90" xfId="0" applyBorder="1"/>
    <xf numFmtId="0" fontId="0" fillId="0" borderId="89" xfId="0" applyBorder="1"/>
    <xf numFmtId="0" fontId="84" fillId="0" borderId="79" xfId="0" applyFont="1" applyBorder="1" applyAlignment="1" applyProtection="1">
      <alignment horizontal="center" vertical="center" wrapText="1"/>
      <protection locked="0"/>
    </xf>
    <xf numFmtId="0" fontId="82" fillId="0" borderId="89" xfId="0" applyFont="1" applyBorder="1" applyAlignment="1">
      <alignment vertical="top"/>
    </xf>
    <xf numFmtId="0" fontId="84" fillId="9" borderId="103" xfId="0" applyFont="1" applyFill="1" applyBorder="1" applyAlignment="1">
      <alignment horizontal="left" vertical="center"/>
    </xf>
    <xf numFmtId="0" fontId="84" fillId="9" borderId="101" xfId="0" applyFont="1" applyFill="1" applyBorder="1" applyAlignment="1">
      <alignment horizontal="left" vertical="center"/>
    </xf>
    <xf numFmtId="0" fontId="82" fillId="9" borderId="101" xfId="0" applyFont="1" applyFill="1" applyBorder="1" applyAlignment="1">
      <alignment vertical="center"/>
    </xf>
    <xf numFmtId="0" fontId="84" fillId="9" borderId="101" xfId="0" applyFont="1" applyFill="1" applyBorder="1" applyAlignment="1">
      <alignment horizontal="center" vertical="center"/>
    </xf>
    <xf numFmtId="0" fontId="80" fillId="9" borderId="101" xfId="0" applyFont="1" applyFill="1" applyBorder="1" applyAlignment="1">
      <alignment vertical="center"/>
    </xf>
    <xf numFmtId="0" fontId="88" fillId="0" borderId="101" xfId="0" applyFont="1" applyBorder="1" applyAlignment="1" applyProtection="1">
      <alignment horizontal="center" vertical="center"/>
      <protection locked="0"/>
    </xf>
    <xf numFmtId="0" fontId="80" fillId="9" borderId="101" xfId="0" applyFont="1" applyFill="1" applyBorder="1" applyAlignment="1">
      <alignment horizontal="left" vertical="center" wrapText="1"/>
    </xf>
    <xf numFmtId="0" fontId="88" fillId="9" borderId="101" xfId="0" applyFont="1" applyFill="1" applyBorder="1" applyAlignment="1">
      <alignment vertical="center"/>
    </xf>
    <xf numFmtId="0" fontId="88" fillId="0" borderId="100" xfId="0" applyFont="1" applyBorder="1" applyAlignment="1" applyProtection="1">
      <alignment horizontal="center" vertical="center"/>
      <protection locked="0"/>
    </xf>
    <xf numFmtId="0" fontId="80" fillId="9" borderId="100" xfId="0" applyFont="1" applyFill="1" applyBorder="1" applyAlignment="1">
      <alignment vertical="center"/>
    </xf>
    <xf numFmtId="0" fontId="82" fillId="0" borderId="36" xfId="0" applyFont="1" applyBorder="1" applyAlignment="1">
      <alignment vertical="center" wrapText="1"/>
    </xf>
    <xf numFmtId="0" fontId="84" fillId="9" borderId="99" xfId="0" applyFont="1" applyFill="1" applyBorder="1" applyAlignment="1">
      <alignment vertical="center"/>
    </xf>
    <xf numFmtId="0" fontId="84" fillId="9" borderId="98" xfId="0" applyFont="1" applyFill="1" applyBorder="1" applyAlignment="1">
      <alignment vertical="center"/>
    </xf>
    <xf numFmtId="0" fontId="80" fillId="9" borderId="96" xfId="0" applyFont="1" applyFill="1" applyBorder="1" applyAlignment="1">
      <alignment horizontal="left" vertical="center"/>
    </xf>
    <xf numFmtId="0" fontId="82" fillId="0" borderId="92" xfId="0" applyFont="1" applyBorder="1" applyAlignment="1">
      <alignment vertical="center"/>
    </xf>
    <xf numFmtId="0" fontId="82" fillId="0" borderId="40" xfId="0" applyFont="1" applyBorder="1" applyAlignment="1">
      <alignment horizontal="center" vertical="center" wrapText="1"/>
    </xf>
    <xf numFmtId="0" fontId="82" fillId="0" borderId="17" xfId="0" applyFont="1" applyBorder="1" applyAlignment="1">
      <alignment vertical="center" wrapText="1"/>
    </xf>
    <xf numFmtId="0" fontId="82" fillId="0" borderId="101" xfId="0" applyFont="1" applyBorder="1" applyAlignment="1">
      <alignment horizontal="left" vertical="center" wrapText="1"/>
    </xf>
    <xf numFmtId="0" fontId="82" fillId="0" borderId="4" xfId="0" applyFont="1" applyBorder="1" applyAlignment="1">
      <alignment horizontal="left" vertical="center" wrapText="1"/>
    </xf>
    <xf numFmtId="0" fontId="82" fillId="0" borderId="1" xfId="0" applyFont="1" applyBorder="1" applyAlignment="1">
      <alignment horizontal="center" vertical="center" wrapText="1"/>
    </xf>
    <xf numFmtId="0" fontId="82" fillId="0" borderId="3" xfId="0" applyFont="1" applyBorder="1" applyAlignment="1">
      <alignment vertical="center" wrapText="1"/>
    </xf>
    <xf numFmtId="0" fontId="0" fillId="0" borderId="160" xfId="0" applyBorder="1" applyAlignment="1">
      <alignment horizontal="center" vertical="center"/>
    </xf>
    <xf numFmtId="0" fontId="0" fillId="0" borderId="161" xfId="0" applyBorder="1" applyAlignment="1">
      <alignment horizontal="center" vertical="center"/>
    </xf>
    <xf numFmtId="0" fontId="0" fillId="0" borderId="162" xfId="0" applyBorder="1" applyAlignment="1">
      <alignment horizontal="center" vertical="center"/>
    </xf>
    <xf numFmtId="0" fontId="0" fillId="0" borderId="91" xfId="0" applyBorder="1" applyAlignment="1">
      <alignment horizontal="center" vertical="center"/>
    </xf>
    <xf numFmtId="0" fontId="0" fillId="0" borderId="90" xfId="0" applyBorder="1" applyAlignment="1">
      <alignment horizontal="center" vertical="center"/>
    </xf>
    <xf numFmtId="0" fontId="0" fillId="0" borderId="89" xfId="0" applyBorder="1" applyAlignment="1">
      <alignment horizontal="center" vertical="center"/>
    </xf>
    <xf numFmtId="0" fontId="82" fillId="0" borderId="100" xfId="0" applyFont="1" applyBorder="1" applyAlignment="1">
      <alignment vertical="center"/>
    </xf>
    <xf numFmtId="0" fontId="0" fillId="0" borderId="88" xfId="0" applyBorder="1" applyAlignment="1">
      <alignment horizontal="center" vertical="center"/>
    </xf>
    <xf numFmtId="0" fontId="0" fillId="0" borderId="87" xfId="0" applyBorder="1" applyAlignment="1">
      <alignment horizontal="center" vertical="center"/>
    </xf>
    <xf numFmtId="0" fontId="82" fillId="0" borderId="4" xfId="0" applyFont="1" applyBorder="1" applyAlignment="1">
      <alignment vertical="top"/>
    </xf>
    <xf numFmtId="0" fontId="84" fillId="9" borderId="95" xfId="0" applyFont="1" applyFill="1" applyBorder="1" applyAlignment="1">
      <alignment vertical="center"/>
    </xf>
    <xf numFmtId="0" fontId="84" fillId="9" borderId="94" xfId="0" applyFont="1" applyFill="1" applyBorder="1" applyAlignment="1">
      <alignment vertical="center"/>
    </xf>
    <xf numFmtId="0" fontId="88" fillId="9" borderId="94" xfId="0" applyFont="1" applyFill="1" applyBorder="1" applyAlignment="1">
      <alignment vertical="center"/>
    </xf>
    <xf numFmtId="0" fontId="80" fillId="9" borderId="94" xfId="0" applyFont="1" applyFill="1" applyBorder="1" applyAlignment="1">
      <alignment vertical="center"/>
    </xf>
    <xf numFmtId="0" fontId="88" fillId="0" borderId="94" xfId="0" applyFont="1" applyBorder="1" applyAlignment="1" applyProtection="1">
      <alignment horizontal="center" vertical="center"/>
      <protection locked="0"/>
    </xf>
    <xf numFmtId="0" fontId="80" fillId="9" borderId="94" xfId="0" applyFont="1" applyFill="1" applyBorder="1" applyAlignment="1">
      <alignment horizontal="left" vertical="center" wrapText="1"/>
    </xf>
    <xf numFmtId="0" fontId="88" fillId="0" borderId="93" xfId="0" applyFont="1" applyBorder="1" applyAlignment="1" applyProtection="1">
      <alignment horizontal="center" vertical="center"/>
      <protection locked="0"/>
    </xf>
    <xf numFmtId="0" fontId="80" fillId="9" borderId="92" xfId="0" applyFont="1" applyFill="1" applyBorder="1" applyAlignment="1">
      <alignment horizontal="left" vertical="center"/>
    </xf>
    <xf numFmtId="0" fontId="82" fillId="0" borderId="97" xfId="0" applyFont="1" applyBorder="1" applyAlignment="1">
      <alignment vertical="center" wrapText="1"/>
    </xf>
    <xf numFmtId="0" fontId="82" fillId="0" borderId="97" xfId="0" applyFont="1" applyBorder="1" applyAlignment="1">
      <alignment horizontal="left" vertical="center"/>
    </xf>
    <xf numFmtId="0" fontId="82" fillId="0" borderId="100" xfId="0" applyFont="1" applyBorder="1" applyAlignment="1">
      <alignment horizontal="left" vertical="center"/>
    </xf>
    <xf numFmtId="0" fontId="82" fillId="0" borderId="79" xfId="0" applyFont="1" applyBorder="1" applyAlignment="1">
      <alignment horizontal="left" vertical="center"/>
    </xf>
    <xf numFmtId="0" fontId="82" fillId="0" borderId="93" xfId="0" applyFont="1" applyBorder="1" applyAlignment="1">
      <alignment horizontal="left" vertical="center"/>
    </xf>
    <xf numFmtId="0" fontId="82" fillId="0" borderId="157" xfId="0" applyFont="1" applyBorder="1" applyAlignment="1">
      <alignment horizontal="left" vertical="center" wrapText="1"/>
    </xf>
    <xf numFmtId="0" fontId="82" fillId="0" borderId="95" xfId="0" applyFont="1" applyBorder="1" applyAlignment="1">
      <alignment horizontal="left" vertical="center"/>
    </xf>
    <xf numFmtId="0" fontId="82" fillId="0" borderId="167" xfId="0" applyFont="1" applyBorder="1" applyAlignment="1">
      <alignment vertical="center"/>
    </xf>
    <xf numFmtId="0" fontId="82" fillId="0" borderId="168" xfId="0" applyFont="1" applyBorder="1" applyAlignment="1">
      <alignment horizontal="left" vertical="center"/>
    </xf>
    <xf numFmtId="0" fontId="82" fillId="0" borderId="169" xfId="0" applyFont="1" applyBorder="1" applyAlignment="1">
      <alignment horizontal="left" vertical="center"/>
    </xf>
    <xf numFmtId="0" fontId="84" fillId="0" borderId="169" xfId="0" applyFont="1" applyBorder="1" applyAlignment="1" applyProtection="1">
      <alignment horizontal="center" vertical="center"/>
      <protection locked="0"/>
    </xf>
    <xf numFmtId="0" fontId="82" fillId="0" borderId="169" xfId="0" applyFont="1" applyBorder="1" applyAlignment="1">
      <alignment horizontal="left" vertical="center" wrapText="1"/>
    </xf>
    <xf numFmtId="0" fontId="82" fillId="0" borderId="169" xfId="0" applyFont="1" applyBorder="1" applyAlignment="1">
      <alignment vertical="center"/>
    </xf>
    <xf numFmtId="0" fontId="84" fillId="0" borderId="170" xfId="0" applyFont="1" applyBorder="1" applyAlignment="1" applyProtection="1">
      <alignment horizontal="center" vertical="center"/>
      <protection locked="0"/>
    </xf>
    <xf numFmtId="0" fontId="82" fillId="0" borderId="171" xfId="0" applyFont="1" applyBorder="1" applyAlignment="1">
      <alignment horizontal="left" vertical="center" wrapText="1"/>
    </xf>
    <xf numFmtId="0" fontId="82" fillId="0" borderId="96" xfId="0" applyFont="1" applyBorder="1" applyAlignment="1">
      <alignment horizontal="left" vertical="center" wrapText="1"/>
    </xf>
    <xf numFmtId="0" fontId="82" fillId="0" borderId="96" xfId="0" applyFont="1" applyBorder="1" applyAlignment="1">
      <alignment horizontal="left" vertical="center"/>
    </xf>
    <xf numFmtId="0" fontId="82" fillId="0" borderId="92" xfId="0" applyFont="1" applyBorder="1" applyAlignment="1">
      <alignment horizontal="left" vertical="center"/>
    </xf>
    <xf numFmtId="0" fontId="82" fillId="0" borderId="92" xfId="0" applyFont="1" applyBorder="1" applyAlignment="1">
      <alignment horizontal="left" vertical="center" wrapText="1"/>
    </xf>
    <xf numFmtId="0" fontId="84" fillId="0" borderId="5" xfId="0" applyFont="1" applyBorder="1" applyAlignment="1">
      <alignment horizontal="center" vertical="center"/>
    </xf>
    <xf numFmtId="0" fontId="82" fillId="0" borderId="36" xfId="0" applyFont="1" applyBorder="1" applyAlignment="1">
      <alignment horizontal="left" vertical="center"/>
    </xf>
    <xf numFmtId="0" fontId="84" fillId="0" borderId="100" xfId="0" applyFont="1" applyBorder="1" applyAlignment="1" applyProtection="1">
      <alignment horizontal="center" vertical="center" wrapText="1"/>
      <protection locked="0"/>
    </xf>
    <xf numFmtId="0" fontId="84" fillId="0" borderId="81" xfId="0" applyFont="1" applyBorder="1" applyAlignment="1">
      <alignment vertical="center"/>
    </xf>
    <xf numFmtId="0" fontId="84" fillId="0" borderId="14" xfId="0" applyFont="1" applyBorder="1" applyAlignment="1">
      <alignment horizontal="left" vertical="center"/>
    </xf>
    <xf numFmtId="0" fontId="84" fillId="0" borderId="13" xfId="0" applyFont="1" applyBorder="1" applyAlignment="1">
      <alignment horizontal="left" vertical="center"/>
    </xf>
    <xf numFmtId="0" fontId="84" fillId="0" borderId="169" xfId="0" applyFont="1" applyBorder="1" applyAlignment="1">
      <alignment horizontal="center" vertical="center"/>
    </xf>
    <xf numFmtId="0" fontId="82" fillId="0" borderId="102" xfId="0" applyFont="1" applyBorder="1" applyAlignment="1">
      <alignment horizontal="left" vertical="center" wrapText="1"/>
    </xf>
    <xf numFmtId="0" fontId="84" fillId="9" borderId="99" xfId="0" applyFont="1" applyFill="1" applyBorder="1" applyAlignment="1">
      <alignment horizontal="left" vertical="center"/>
    </xf>
    <xf numFmtId="0" fontId="84" fillId="9" borderId="98" xfId="0" applyFont="1" applyFill="1" applyBorder="1" applyAlignment="1">
      <alignment horizontal="left" vertical="center"/>
    </xf>
    <xf numFmtId="0" fontId="82" fillId="9" borderId="98" xfId="0" applyFont="1" applyFill="1" applyBorder="1" applyAlignment="1">
      <alignment vertical="center"/>
    </xf>
    <xf numFmtId="0" fontId="84" fillId="9" borderId="98" xfId="0" applyFont="1" applyFill="1" applyBorder="1" applyAlignment="1">
      <alignment horizontal="center" vertical="center"/>
    </xf>
    <xf numFmtId="0" fontId="84" fillId="0" borderId="94" xfId="0" applyFont="1" applyBorder="1" applyAlignment="1">
      <alignment horizontal="center" vertical="center"/>
    </xf>
    <xf numFmtId="0" fontId="92" fillId="0" borderId="5" xfId="0" applyFont="1" applyBorder="1" applyAlignment="1">
      <alignment horizontal="left" vertical="center"/>
    </xf>
    <xf numFmtId="0" fontId="0" fillId="0" borderId="17" xfId="0" applyBorder="1"/>
    <xf numFmtId="0" fontId="82" fillId="0" borderId="0" xfId="0" applyFont="1" applyAlignment="1">
      <alignment vertical="center" wrapText="1"/>
    </xf>
    <xf numFmtId="0" fontId="82" fillId="0" borderId="40" xfId="0" applyFont="1" applyBorder="1" applyAlignment="1">
      <alignment horizontal="center" vertical="center"/>
    </xf>
    <xf numFmtId="0" fontId="82" fillId="0" borderId="17" xfId="0" applyFont="1" applyBorder="1" applyAlignment="1">
      <alignment horizontal="center" vertical="center"/>
    </xf>
    <xf numFmtId="0" fontId="82" fillId="0" borderId="0" xfId="0" applyFont="1" applyAlignment="1">
      <alignment horizontal="center" vertical="center"/>
    </xf>
    <xf numFmtId="0" fontId="82" fillId="0" borderId="8" xfId="0" applyFont="1" applyBorder="1" applyAlignment="1" applyProtection="1">
      <alignment horizontal="center" vertical="center"/>
      <protection locked="0"/>
    </xf>
    <xf numFmtId="0" fontId="82" fillId="0" borderId="9" xfId="0" applyFont="1" applyBorder="1" applyAlignment="1" applyProtection="1">
      <alignment horizontal="center" vertical="center"/>
      <protection locked="0"/>
    </xf>
    <xf numFmtId="0" fontId="82" fillId="0" borderId="84" xfId="0" applyFont="1" applyBorder="1" applyAlignment="1" applyProtection="1">
      <alignment horizontal="center" vertical="center"/>
      <protection locked="0"/>
    </xf>
    <xf numFmtId="0" fontId="89" fillId="0" borderId="0" xfId="0" applyFont="1" applyAlignment="1">
      <alignment horizontal="center" vertical="center"/>
    </xf>
    <xf numFmtId="0" fontId="89" fillId="0" borderId="0" xfId="0" applyFont="1" applyAlignment="1">
      <alignment vertical="center"/>
    </xf>
  </cellXfs>
  <cellStyles count="10">
    <cellStyle name="パーセント 2" xfId="1" xr:uid="{00000000-0005-0000-0000-000000000000}"/>
    <cellStyle name="ハイパーリンク" xfId="9" builtinId="8"/>
    <cellStyle name="桁区切り" xfId="2" builtinId="6"/>
    <cellStyle name="桁区切り 2" xfId="3" xr:uid="{00000000-0005-0000-0000-000002000000}"/>
    <cellStyle name="桁区切り 3" xfId="7" xr:uid="{752DFB4E-B07A-40F7-A85F-B7943DA75286}"/>
    <cellStyle name="標準" xfId="0" builtinId="0"/>
    <cellStyle name="標準 2" xfId="6" xr:uid="{68B38D1C-679F-4F80-BC8F-987021590E19}"/>
    <cellStyle name="標準 3" xfId="4" xr:uid="{00000000-0005-0000-0000-000004000000}"/>
    <cellStyle name="標準 4" xfId="8" xr:uid="{F0AD6675-7770-4AEB-AD31-A8B8E284BAB3}"/>
    <cellStyle name="標準_~9263894" xfId="5" xr:uid="{00000000-0005-0000-0000-000005000000}"/>
  </cellStyles>
  <dxfs count="1">
    <dxf>
      <fill>
        <patternFill>
          <bgColor theme="9" tint="0.79998168889431442"/>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78189</xdr:colOff>
      <xdr:row>5</xdr:row>
      <xdr:rowOff>0</xdr:rowOff>
    </xdr:from>
    <xdr:to>
      <xdr:col>29</xdr:col>
      <xdr:colOff>148532</xdr:colOff>
      <xdr:row>6</xdr:row>
      <xdr:rowOff>11245</xdr:rowOff>
    </xdr:to>
    <xdr:sp macro="" textlink="" fLocksText="0">
      <xdr:nvSpPr>
        <xdr:cNvPr id="2" name="大かっこ 1">
          <a:extLst>
            <a:ext uri="{FF2B5EF4-FFF2-40B4-BE49-F238E27FC236}">
              <a16:creationId xmlns:a16="http://schemas.microsoft.com/office/drawing/2014/main" id="{00000000-0008-0000-0B00-000002000000}"/>
            </a:ext>
          </a:extLst>
        </xdr:cNvPr>
        <xdr:cNvSpPr/>
      </xdr:nvSpPr>
      <xdr:spPr>
        <a:xfrm>
          <a:off x="376639" y="825500"/>
          <a:ext cx="5899643" cy="34144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20</xdr:col>
          <xdr:colOff>30480</xdr:colOff>
          <xdr:row>32</xdr:row>
          <xdr:rowOff>0</xdr:rowOff>
        </xdr:from>
        <xdr:to>
          <xdr:col>22</xdr:col>
          <xdr:colOff>114300</xdr:colOff>
          <xdr:row>32</xdr:row>
          <xdr:rowOff>251460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F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22</xdr:row>
          <xdr:rowOff>0</xdr:rowOff>
        </xdr:from>
        <xdr:to>
          <xdr:col>22</xdr:col>
          <xdr:colOff>114300</xdr:colOff>
          <xdr:row>22</xdr:row>
          <xdr:rowOff>251460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F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45</xdr:row>
          <xdr:rowOff>0</xdr:rowOff>
        </xdr:from>
        <xdr:to>
          <xdr:col>22</xdr:col>
          <xdr:colOff>114300</xdr:colOff>
          <xdr:row>46</xdr:row>
          <xdr:rowOff>30480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F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51</xdr:row>
          <xdr:rowOff>0</xdr:rowOff>
        </xdr:from>
        <xdr:to>
          <xdr:col>22</xdr:col>
          <xdr:colOff>114300</xdr:colOff>
          <xdr:row>52</xdr:row>
          <xdr:rowOff>30480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F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30480</xdr:colOff>
          <xdr:row>34</xdr:row>
          <xdr:rowOff>0</xdr:rowOff>
        </xdr:from>
        <xdr:to>
          <xdr:col>22</xdr:col>
          <xdr:colOff>114300</xdr:colOff>
          <xdr:row>34</xdr:row>
          <xdr:rowOff>251460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F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112060</xdr:colOff>
      <xdr:row>17</xdr:row>
      <xdr:rowOff>100852</xdr:rowOff>
    </xdr:from>
    <xdr:to>
      <xdr:col>36</xdr:col>
      <xdr:colOff>145677</xdr:colOff>
      <xdr:row>37</xdr:row>
      <xdr:rowOff>11206</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2939080" y="3286012"/>
          <a:ext cx="7546937" cy="3872754"/>
        </a:xfrm>
        <a:prstGeom prst="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t"/>
        <a:lstStyle/>
        <a:p>
          <a:pPr algn="l"/>
          <a:r>
            <a:rPr kumimoji="1" lang="ja-JP" altLang="en-US" sz="1100"/>
            <a:t>勤務表の作成について・・・</a:t>
          </a:r>
          <a:endParaRPr kumimoji="1" lang="en-US" altLang="ja-JP" sz="1100"/>
        </a:p>
        <a:p>
          <a:pPr algn="l"/>
          <a:r>
            <a:rPr kumimoji="1" lang="ja-JP" altLang="en-US" sz="1100"/>
            <a:t>　基準（勤務体制の確保等）では、「施設（事業所）ごとに、原則として月ごとに勤務表を作成し、従業者の日々の勤務時間、常勤・非常勤の別、介護・介護職員等の配置兼務関係等を明確にすること」を定めています。</a:t>
          </a:r>
          <a:endParaRPr kumimoji="1" lang="en-US" altLang="ja-JP" sz="1100"/>
        </a:p>
        <a:p>
          <a:pPr algn="l"/>
          <a:endParaRPr kumimoji="1" lang="en-US" altLang="ja-JP" sz="1100"/>
        </a:p>
        <a:p>
          <a:pPr algn="l"/>
          <a:r>
            <a:rPr kumimoji="1" lang="ja-JP" altLang="en-US" sz="1100"/>
            <a:t>　この勤務表は、人員基準や夜勤職員（加算含む）などの計算ができるように参考に作成したものです。</a:t>
          </a:r>
          <a:endParaRPr kumimoji="1" lang="en-US" altLang="ja-JP" sz="1100"/>
        </a:p>
        <a:p>
          <a:pPr algn="l"/>
          <a:r>
            <a:rPr kumimoji="1" lang="ja-JP" altLang="en-US" sz="1100"/>
            <a:t>　普段の勤務予定表として作成し、最終的に実績表として再作成するなどしてご活用ください。（活用にあっては任意です。）</a:t>
          </a:r>
          <a:endParaRPr kumimoji="1" lang="en-US" altLang="ja-JP" sz="1100"/>
        </a:p>
        <a:p>
          <a:pPr algn="l"/>
          <a:endParaRPr kumimoji="1" lang="en-US" altLang="ja-JP" sz="1100"/>
        </a:p>
        <a:p>
          <a:pPr algn="l"/>
          <a:r>
            <a:rPr kumimoji="1" lang="ja-JP" altLang="en-US" sz="1100"/>
            <a:t>　作成にあっては、事業所単位で作成する。または事業所に勤務する職種単位で作成し事業所ごとに管理する等して、事業所ごとに月ごとの勤務時間がわかるよう、把握しやすいよう工夫してください。</a:t>
          </a:r>
          <a:endParaRPr kumimoji="1" lang="en-US" altLang="ja-JP" sz="1100"/>
        </a:p>
        <a:p>
          <a:pPr algn="l"/>
          <a:r>
            <a:rPr kumimoji="1" lang="ja-JP" altLang="en-US" sz="1100"/>
            <a:t>　</a:t>
          </a:r>
          <a:endParaRPr kumimoji="1" lang="en-US" altLang="ja-JP" sz="1100"/>
        </a:p>
        <a:p>
          <a:pPr algn="l"/>
          <a:r>
            <a:rPr kumimoji="1" lang="ja-JP" altLang="en-US" sz="1100"/>
            <a:t>　この勤務表では、日数単位、４週単位での常勤換算を計算、夜勤時間帯を通じて、必要な人員数が満たされているか確認もできるようにしています。（全職員の実労働時間数も把握できますので、指標等にも活用できます。）</a:t>
          </a:r>
          <a:endParaRPr kumimoji="1" lang="en-US" altLang="ja-JP" sz="1100"/>
        </a:p>
        <a:p>
          <a:pPr algn="l"/>
          <a:endParaRPr kumimoji="1" lang="en-US" altLang="ja-JP" sz="1100"/>
        </a:p>
        <a:p>
          <a:pPr algn="l"/>
          <a:r>
            <a:rPr kumimoji="1" lang="ja-JP" altLang="en-US" sz="1100"/>
            <a:t>　</a:t>
          </a:r>
          <a:r>
            <a:rPr kumimoji="1" lang="en-US" altLang="ja-JP" sz="1100"/>
            <a:t>※</a:t>
          </a:r>
          <a:r>
            <a:rPr kumimoji="1" lang="ja-JP" altLang="en-US" sz="1100"/>
            <a:t>施設（事業所）によっては、常勤が勤務すべき時間数、勤務形態、勤務時間、夜勤時間帯など異なりますので、この勤務表を活用される場合は、あらかじめ基本設定する必要があります。</a:t>
          </a:r>
          <a:endParaRPr kumimoji="1" lang="en-US" altLang="ja-JP" sz="1100"/>
        </a:p>
        <a:p>
          <a:pPr algn="l"/>
          <a:endParaRPr kumimoji="1" lang="en-US" altLang="ja-JP" sz="1100"/>
        </a:p>
        <a:p>
          <a:pPr algn="l"/>
          <a:r>
            <a:rPr kumimoji="1" lang="ja-JP" altLang="en-US" sz="1100"/>
            <a:t>　①オレンジ色のセルは、基本設定した内容を「選択入力」してください。</a:t>
          </a:r>
          <a:endParaRPr kumimoji="1" lang="en-US" altLang="ja-JP" sz="1100"/>
        </a:p>
        <a:p>
          <a:pPr algn="l"/>
          <a:r>
            <a:rPr kumimoji="1" lang="ja-JP" altLang="en-US" sz="1100"/>
            <a:t>　②薄い青色のセルは、計算式が入力されています。</a:t>
          </a:r>
          <a:endParaRPr kumimoji="1" lang="en-US" altLang="ja-JP" sz="1100"/>
        </a:p>
        <a:p>
          <a:pPr algn="l"/>
          <a:r>
            <a:rPr kumimoji="1" lang="ja-JP" altLang="en-US" sz="1100"/>
            <a:t>　③薄い黄色のセルは、「入力」してください。</a:t>
          </a:r>
          <a:endParaRPr kumimoji="1" lang="en-US" altLang="ja-JP" sz="1100"/>
        </a:p>
        <a:p>
          <a:pPr algn="l"/>
          <a:r>
            <a:rPr kumimoji="1" lang="ja-JP" altLang="en-US" sz="1100"/>
            <a:t>　</a:t>
          </a:r>
          <a:r>
            <a:rPr kumimoji="1" lang="en-US" altLang="ja-JP" sz="1100"/>
            <a:t>※</a:t>
          </a:r>
          <a:r>
            <a:rPr kumimoji="1" lang="ja-JP" altLang="en-US" sz="1100"/>
            <a:t>便宜上、カラーで設定していますが、印刷する際は、「ページ設定」⇒「白黒印刷」に変更して印刷する等してください。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1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kaigokensaku.mhlw.go.jp/shinsei/report/" TargetMode="External"/><Relationship Id="rId1" Type="http://schemas.openxmlformats.org/officeDocument/2006/relationships/hyperlink" Target="https://www.pref.osaka.lg.jp/documents/63688/tuchi.pdf"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8.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G76"/>
  <sheetViews>
    <sheetView view="pageBreakPreview" zoomScale="70" zoomScaleNormal="100" zoomScaleSheetLayoutView="70" workbookViewId="0"/>
  </sheetViews>
  <sheetFormatPr defaultColWidth="9" defaultRowHeight="13.2"/>
  <cols>
    <col min="1" max="1" width="2" style="106" customWidth="1"/>
    <col min="2" max="3" width="3.33203125" style="106" customWidth="1"/>
    <col min="4" max="4" width="27.109375" style="106" customWidth="1"/>
    <col min="5" max="5" width="23.44140625" style="106" customWidth="1"/>
    <col min="6" max="6" width="22.77734375" style="106" customWidth="1"/>
    <col min="7" max="7" width="39.21875" style="106" customWidth="1"/>
    <col min="8" max="8" width="1.44140625" style="106" customWidth="1"/>
    <col min="9" max="16384" width="9" style="106"/>
  </cols>
  <sheetData>
    <row r="1" spans="2:7">
      <c r="G1" s="553" t="s">
        <v>1490</v>
      </c>
    </row>
    <row r="2" spans="2:7" ht="16.2">
      <c r="B2" s="844" t="s">
        <v>262</v>
      </c>
      <c r="C2" s="844"/>
      <c r="D2" s="844"/>
      <c r="E2" s="844"/>
      <c r="F2" s="844"/>
      <c r="G2" s="844"/>
    </row>
    <row r="4" spans="2:7" ht="16.2">
      <c r="B4" s="108" t="s">
        <v>298</v>
      </c>
      <c r="C4" s="108"/>
    </row>
    <row r="5" spans="2:7">
      <c r="B5" s="845" t="s">
        <v>636</v>
      </c>
      <c r="C5" s="845"/>
      <c r="D5" s="845"/>
      <c r="E5" s="845"/>
      <c r="F5" s="845"/>
      <c r="G5" s="845"/>
    </row>
    <row r="6" spans="2:7">
      <c r="B6" s="845"/>
      <c r="C6" s="845"/>
      <c r="D6" s="845"/>
      <c r="E6" s="845"/>
      <c r="F6" s="845"/>
      <c r="G6" s="845"/>
    </row>
    <row r="7" spans="2:7">
      <c r="B7" s="845"/>
      <c r="C7" s="845"/>
      <c r="D7" s="845"/>
      <c r="E7" s="845"/>
      <c r="F7" s="845"/>
      <c r="G7" s="845"/>
    </row>
    <row r="9" spans="2:7">
      <c r="B9" s="107" t="s">
        <v>263</v>
      </c>
      <c r="C9" s="107"/>
    </row>
    <row r="10" spans="2:7">
      <c r="B10" s="845" t="s">
        <v>264</v>
      </c>
      <c r="C10" s="845"/>
      <c r="D10" s="845"/>
      <c r="E10" s="845"/>
      <c r="F10" s="845"/>
      <c r="G10" s="845"/>
    </row>
    <row r="11" spans="2:7">
      <c r="B11" s="845"/>
      <c r="C11" s="845"/>
      <c r="D11" s="845"/>
      <c r="E11" s="845"/>
      <c r="F11" s="845"/>
      <c r="G11" s="845"/>
    </row>
    <row r="12" spans="2:7">
      <c r="B12" s="845"/>
      <c r="C12" s="845"/>
      <c r="D12" s="845"/>
      <c r="E12" s="845"/>
      <c r="F12" s="845"/>
      <c r="G12" s="845"/>
    </row>
    <row r="13" spans="2:7">
      <c r="B13" s="845"/>
      <c r="C13" s="845"/>
      <c r="D13" s="845"/>
      <c r="E13" s="845"/>
      <c r="F13" s="845"/>
      <c r="G13" s="845"/>
    </row>
    <row r="14" spans="2:7">
      <c r="B14" s="845"/>
      <c r="C14" s="845"/>
      <c r="D14" s="845"/>
      <c r="E14" s="845"/>
      <c r="F14" s="845"/>
      <c r="G14" s="845"/>
    </row>
    <row r="16" spans="2:7" ht="16.2">
      <c r="B16" s="108" t="s">
        <v>305</v>
      </c>
      <c r="C16" s="108"/>
    </row>
    <row r="17" spans="2:7">
      <c r="B17" s="845" t="s">
        <v>310</v>
      </c>
      <c r="C17" s="845"/>
      <c r="D17" s="845"/>
      <c r="E17" s="845"/>
      <c r="F17" s="845"/>
      <c r="G17" s="845"/>
    </row>
    <row r="18" spans="2:7">
      <c r="B18" s="845"/>
      <c r="C18" s="845"/>
      <c r="D18" s="845"/>
      <c r="E18" s="845"/>
      <c r="F18" s="845"/>
      <c r="G18" s="845"/>
    </row>
    <row r="19" spans="2:7">
      <c r="B19" s="845"/>
      <c r="C19" s="845"/>
      <c r="D19" s="845"/>
      <c r="E19" s="845"/>
      <c r="F19" s="845"/>
      <c r="G19" s="845"/>
    </row>
    <row r="21" spans="2:7" ht="16.2">
      <c r="C21" s="108" t="s">
        <v>304</v>
      </c>
    </row>
    <row r="22" spans="2:7" ht="16.2">
      <c r="C22" s="108"/>
      <c r="D22" s="109" t="s">
        <v>637</v>
      </c>
    </row>
    <row r="23" spans="2:7" ht="26.25" customHeight="1">
      <c r="D23" s="846" t="s">
        <v>265</v>
      </c>
      <c r="E23" s="847"/>
      <c r="F23" s="111" t="s">
        <v>266</v>
      </c>
      <c r="G23" s="112" t="s">
        <v>267</v>
      </c>
    </row>
    <row r="24" spans="2:7">
      <c r="D24" s="113" t="s">
        <v>2</v>
      </c>
      <c r="E24" s="114"/>
      <c r="F24" s="853" t="s">
        <v>1120</v>
      </c>
      <c r="G24" s="857" t="s">
        <v>1492</v>
      </c>
    </row>
    <row r="25" spans="2:7">
      <c r="D25" s="116"/>
      <c r="E25" s="117"/>
      <c r="F25" s="854"/>
      <c r="G25" s="858"/>
    </row>
    <row r="26" spans="2:7">
      <c r="D26" s="113" t="s">
        <v>290</v>
      </c>
      <c r="E26" s="114"/>
      <c r="F26" s="854"/>
      <c r="G26" s="858"/>
    </row>
    <row r="27" spans="2:7">
      <c r="D27" s="116" t="s">
        <v>291</v>
      </c>
      <c r="E27" s="117"/>
      <c r="F27" s="854"/>
      <c r="G27" s="858"/>
    </row>
    <row r="28" spans="2:7">
      <c r="D28" s="823" t="s">
        <v>281</v>
      </c>
      <c r="E28" s="848" t="s">
        <v>280</v>
      </c>
      <c r="F28" s="854"/>
      <c r="G28" s="858"/>
    </row>
    <row r="29" spans="2:7">
      <c r="D29" s="823" t="s">
        <v>282</v>
      </c>
      <c r="E29" s="849"/>
      <c r="F29" s="854"/>
      <c r="G29" s="858"/>
    </row>
    <row r="30" spans="2:7">
      <c r="D30" s="125" t="s">
        <v>283</v>
      </c>
      <c r="E30" s="115" t="s">
        <v>1118</v>
      </c>
      <c r="F30" s="854"/>
      <c r="G30" s="858"/>
    </row>
    <row r="31" spans="2:7">
      <c r="D31" s="126" t="s">
        <v>1116</v>
      </c>
      <c r="E31" s="119"/>
      <c r="F31" s="854"/>
      <c r="G31" s="859"/>
    </row>
    <row r="32" spans="2:7">
      <c r="D32" s="126"/>
      <c r="E32" s="850" t="s">
        <v>1117</v>
      </c>
      <c r="F32" s="824" t="s">
        <v>268</v>
      </c>
      <c r="G32" s="825" t="s">
        <v>292</v>
      </c>
    </row>
    <row r="33" spans="4:7">
      <c r="D33" s="126"/>
      <c r="E33" s="851"/>
      <c r="F33" s="579" t="s">
        <v>270</v>
      </c>
      <c r="G33" s="124" t="s">
        <v>296</v>
      </c>
    </row>
    <row r="34" spans="4:7">
      <c r="D34" s="128"/>
      <c r="E34" s="852"/>
      <c r="F34" s="580" t="s">
        <v>271</v>
      </c>
      <c r="G34" s="129" t="s">
        <v>297</v>
      </c>
    </row>
    <row r="35" spans="4:7">
      <c r="D35" s="823" t="s">
        <v>4</v>
      </c>
      <c r="E35" s="826"/>
      <c r="F35" s="854" t="s">
        <v>1119</v>
      </c>
      <c r="G35" s="857" t="s">
        <v>1492</v>
      </c>
    </row>
    <row r="36" spans="4:7">
      <c r="D36" s="116"/>
      <c r="E36" s="117"/>
      <c r="F36" s="854"/>
      <c r="G36" s="858"/>
    </row>
    <row r="37" spans="4:7">
      <c r="D37" s="113" t="s">
        <v>284</v>
      </c>
      <c r="E37" s="114"/>
      <c r="F37" s="854"/>
      <c r="G37" s="858"/>
    </row>
    <row r="38" spans="4:7">
      <c r="D38" s="116" t="s">
        <v>285</v>
      </c>
      <c r="E38" s="117"/>
      <c r="F38" s="854"/>
      <c r="G38" s="856"/>
    </row>
    <row r="39" spans="4:7">
      <c r="D39" s="120" t="s">
        <v>287</v>
      </c>
      <c r="E39" s="848" t="s">
        <v>286</v>
      </c>
      <c r="F39" s="854"/>
      <c r="G39" s="855" t="s">
        <v>294</v>
      </c>
    </row>
    <row r="40" spans="4:7">
      <c r="D40" s="120" t="s">
        <v>288</v>
      </c>
      <c r="E40" s="849"/>
      <c r="F40" s="854"/>
      <c r="G40" s="856"/>
    </row>
    <row r="41" spans="4:7">
      <c r="D41" s="581" t="s">
        <v>257</v>
      </c>
      <c r="E41" s="115" t="s">
        <v>1118</v>
      </c>
      <c r="F41" s="854"/>
      <c r="G41" s="581"/>
    </row>
    <row r="42" spans="4:7">
      <c r="D42" s="124" t="s">
        <v>289</v>
      </c>
      <c r="E42" s="122"/>
      <c r="F42" s="854"/>
      <c r="G42" s="124" t="s">
        <v>292</v>
      </c>
    </row>
    <row r="43" spans="4:7">
      <c r="D43" s="124"/>
      <c r="E43" s="838" t="s">
        <v>1117</v>
      </c>
      <c r="F43" s="831" t="s">
        <v>268</v>
      </c>
      <c r="G43" s="124" t="s">
        <v>296</v>
      </c>
    </row>
    <row r="44" spans="4:7">
      <c r="D44" s="124"/>
      <c r="E44" s="839"/>
      <c r="F44" s="118" t="s">
        <v>270</v>
      </c>
      <c r="G44" s="124" t="s">
        <v>297</v>
      </c>
    </row>
    <row r="45" spans="4:7">
      <c r="D45" s="124"/>
      <c r="E45" s="840"/>
      <c r="F45" s="123" t="s">
        <v>271</v>
      </c>
      <c r="G45" s="124"/>
    </row>
    <row r="46" spans="4:7" ht="18" customHeight="1">
      <c r="D46" s="113" t="s">
        <v>272</v>
      </c>
      <c r="E46" s="114"/>
      <c r="F46" s="853" t="s">
        <v>1491</v>
      </c>
      <c r="G46" s="213"/>
    </row>
    <row r="47" spans="4:7" ht="18" customHeight="1">
      <c r="D47" s="861" t="s">
        <v>273</v>
      </c>
      <c r="E47" s="862"/>
      <c r="F47" s="854"/>
      <c r="G47" s="214"/>
    </row>
    <row r="48" spans="4:7" ht="18" customHeight="1">
      <c r="D48" s="116"/>
      <c r="E48" s="117"/>
      <c r="F48" s="854"/>
      <c r="G48" s="214"/>
    </row>
    <row r="49" spans="3:7" ht="18" customHeight="1">
      <c r="D49" s="119" t="s">
        <v>6</v>
      </c>
      <c r="E49" s="113" t="s">
        <v>275</v>
      </c>
      <c r="F49" s="854"/>
      <c r="G49" s="214"/>
    </row>
    <row r="50" spans="3:7" ht="18" customHeight="1">
      <c r="D50" s="119" t="s">
        <v>274</v>
      </c>
      <c r="E50" s="212" t="s">
        <v>276</v>
      </c>
      <c r="F50" s="854"/>
      <c r="G50" s="214"/>
    </row>
    <row r="51" spans="3:7" ht="18" customHeight="1">
      <c r="D51" s="119"/>
      <c r="E51" s="865" t="s">
        <v>301</v>
      </c>
      <c r="F51" s="854"/>
      <c r="G51" s="214"/>
    </row>
    <row r="52" spans="3:7" ht="18" customHeight="1">
      <c r="D52" s="119"/>
      <c r="E52" s="866"/>
      <c r="F52" s="869"/>
      <c r="G52" s="214" t="s">
        <v>293</v>
      </c>
    </row>
    <row r="53" spans="3:7" ht="18" customHeight="1">
      <c r="D53" s="581" t="s">
        <v>249</v>
      </c>
      <c r="E53" s="841" t="s">
        <v>1197</v>
      </c>
      <c r="F53" s="828" t="s">
        <v>268</v>
      </c>
      <c r="G53" s="860" t="s">
        <v>295</v>
      </c>
    </row>
    <row r="54" spans="3:7" ht="18" customHeight="1">
      <c r="D54" s="124" t="s">
        <v>277</v>
      </c>
      <c r="E54" s="842"/>
      <c r="F54" s="829" t="s">
        <v>270</v>
      </c>
      <c r="G54" s="860"/>
    </row>
    <row r="55" spans="3:7" ht="18" customHeight="1">
      <c r="D55" s="124"/>
      <c r="E55" s="843"/>
      <c r="F55" s="830" t="s">
        <v>271</v>
      </c>
      <c r="G55" s="214"/>
    </row>
    <row r="56" spans="3:7" ht="18" customHeight="1">
      <c r="D56" s="119"/>
      <c r="E56" s="211" t="s">
        <v>279</v>
      </c>
      <c r="F56" s="118" t="s">
        <v>446</v>
      </c>
      <c r="G56" s="214"/>
    </row>
    <row r="57" spans="3:7" ht="18" customHeight="1">
      <c r="D57" s="119"/>
      <c r="E57" s="211"/>
      <c r="F57" s="118" t="s">
        <v>447</v>
      </c>
      <c r="G57" s="214"/>
    </row>
    <row r="58" spans="3:7" ht="18" customHeight="1">
      <c r="D58" s="121"/>
      <c r="E58" s="211"/>
      <c r="F58" s="123" t="s">
        <v>269</v>
      </c>
      <c r="G58" s="214"/>
    </row>
    <row r="59" spans="3:7" ht="18" customHeight="1">
      <c r="D59" s="125" t="s">
        <v>303</v>
      </c>
      <c r="E59" s="867" t="s">
        <v>302</v>
      </c>
      <c r="F59" s="127"/>
      <c r="G59" s="124"/>
    </row>
    <row r="60" spans="3:7" ht="18" customHeight="1">
      <c r="D60" s="126"/>
      <c r="E60" s="868"/>
      <c r="F60" s="127" t="s">
        <v>268</v>
      </c>
      <c r="G60" s="124"/>
    </row>
    <row r="61" spans="3:7" ht="18" customHeight="1">
      <c r="D61" s="126"/>
      <c r="E61" s="124" t="s">
        <v>278</v>
      </c>
      <c r="F61" s="127" t="s">
        <v>270</v>
      </c>
      <c r="G61" s="863"/>
    </row>
    <row r="62" spans="3:7" ht="18" customHeight="1">
      <c r="D62" s="128"/>
      <c r="E62" s="129" t="s">
        <v>1121</v>
      </c>
      <c r="F62" s="554" t="s">
        <v>271</v>
      </c>
      <c r="G62" s="864"/>
    </row>
    <row r="64" spans="3:7" ht="16.2">
      <c r="C64" s="108" t="s">
        <v>299</v>
      </c>
    </row>
    <row r="65" spans="2:7" ht="14.4">
      <c r="D65" s="110" t="s">
        <v>300</v>
      </c>
    </row>
    <row r="67" spans="2:7" ht="16.2">
      <c r="B67" s="108" t="s">
        <v>306</v>
      </c>
    </row>
    <row r="68" spans="2:7">
      <c r="B68" s="845" t="s">
        <v>309</v>
      </c>
      <c r="C68" s="845"/>
      <c r="D68" s="845"/>
      <c r="E68" s="845"/>
      <c r="F68" s="845"/>
      <c r="G68" s="845"/>
    </row>
    <row r="69" spans="2:7">
      <c r="B69" s="845"/>
      <c r="C69" s="845"/>
      <c r="D69" s="845"/>
      <c r="E69" s="845"/>
      <c r="F69" s="845"/>
      <c r="G69" s="845"/>
    </row>
    <row r="70" spans="2:7">
      <c r="B70" s="845"/>
      <c r="C70" s="845"/>
      <c r="D70" s="845"/>
      <c r="E70" s="845"/>
      <c r="F70" s="845"/>
      <c r="G70" s="845"/>
    </row>
    <row r="71" spans="2:7">
      <c r="D71" s="106" t="s">
        <v>308</v>
      </c>
    </row>
    <row r="72" spans="2:7">
      <c r="D72" s="106" t="s">
        <v>307</v>
      </c>
    </row>
    <row r="73" spans="2:7">
      <c r="D73" s="106" t="s">
        <v>638</v>
      </c>
    </row>
    <row r="75" spans="2:7">
      <c r="C75" s="107" t="s">
        <v>311</v>
      </c>
    </row>
    <row r="76" spans="2:7">
      <c r="C76" s="107" t="s">
        <v>312</v>
      </c>
    </row>
  </sheetData>
  <mergeCells count="22">
    <mergeCell ref="B68:G70"/>
    <mergeCell ref="G53:G54"/>
    <mergeCell ref="D47:E47"/>
    <mergeCell ref="G61:G62"/>
    <mergeCell ref="E51:E52"/>
    <mergeCell ref="E59:E60"/>
    <mergeCell ref="F46:F52"/>
    <mergeCell ref="E43:E45"/>
    <mergeCell ref="E53:E55"/>
    <mergeCell ref="B2:G2"/>
    <mergeCell ref="B5:G7"/>
    <mergeCell ref="B10:G14"/>
    <mergeCell ref="B17:G19"/>
    <mergeCell ref="D23:E23"/>
    <mergeCell ref="E39:E40"/>
    <mergeCell ref="E28:E29"/>
    <mergeCell ref="E32:E34"/>
    <mergeCell ref="F24:F31"/>
    <mergeCell ref="F35:F42"/>
    <mergeCell ref="G39:G40"/>
    <mergeCell ref="G24:G31"/>
    <mergeCell ref="G35:G38"/>
  </mergeCells>
  <phoneticPr fontId="3"/>
  <printOptions horizontalCentered="1"/>
  <pageMargins left="0.59055118110236227" right="0.19685039370078741" top="0.19685039370078741" bottom="0.19685039370078741" header="0.31496062992125984" footer="0.31496062992125984"/>
  <pageSetup paperSize="9" scale="7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0BB83-7661-4727-8F49-1E27E7045C2B}">
  <sheetPr>
    <tabColor rgb="FFFFFF00"/>
    <pageSetUpPr fitToPage="1"/>
  </sheetPr>
  <dimension ref="A1:AE123"/>
  <sheetViews>
    <sheetView view="pageBreakPreview" zoomScaleNormal="100" zoomScaleSheetLayoutView="100" workbookViewId="0"/>
  </sheetViews>
  <sheetFormatPr defaultColWidth="3.44140625" defaultRowHeight="13.2"/>
  <cols>
    <col min="1" max="1" width="3.44140625" style="3"/>
    <col min="2" max="2" width="3" style="384" customWidth="1"/>
    <col min="3" max="7" width="3.44140625" style="3"/>
    <col min="8" max="8" width="2.44140625" style="3" customWidth="1"/>
    <col min="9" max="16384" width="3.44140625" style="3"/>
  </cols>
  <sheetData>
    <row r="1" spans="2:30" s="1" customFormat="1"/>
    <row r="2" spans="2:30" s="1" customFormat="1">
      <c r="B2" s="530" t="s">
        <v>1049</v>
      </c>
      <c r="C2" s="530"/>
      <c r="D2" s="530"/>
      <c r="E2" s="530"/>
      <c r="F2" s="530"/>
      <c r="T2" s="45"/>
      <c r="U2" s="45" t="s">
        <v>313</v>
      </c>
      <c r="V2" s="899"/>
      <c r="W2" s="899"/>
      <c r="X2" s="12" t="s">
        <v>34</v>
      </c>
      <c r="Y2" s="899"/>
      <c r="Z2" s="899"/>
      <c r="AA2" s="12" t="s">
        <v>654</v>
      </c>
      <c r="AB2" s="899"/>
      <c r="AC2" s="899"/>
      <c r="AD2" s="12" t="s">
        <v>376</v>
      </c>
    </row>
    <row r="3" spans="2:30" s="1" customFormat="1"/>
    <row r="4" spans="2:30" s="1" customFormat="1">
      <c r="B4" s="899" t="s">
        <v>515</v>
      </c>
      <c r="C4" s="899"/>
      <c r="D4" s="899"/>
      <c r="E4" s="899"/>
      <c r="F4" s="899"/>
      <c r="G4" s="899"/>
      <c r="H4" s="899"/>
      <c r="I4" s="899"/>
      <c r="J4" s="899"/>
      <c r="K4" s="899"/>
      <c r="L4" s="899"/>
      <c r="M4" s="899"/>
      <c r="N4" s="899"/>
      <c r="O4" s="899"/>
      <c r="P4" s="899"/>
      <c r="Q4" s="899"/>
      <c r="R4" s="899"/>
      <c r="S4" s="899"/>
      <c r="T4" s="899"/>
      <c r="U4" s="899"/>
      <c r="V4" s="899"/>
      <c r="W4" s="899"/>
      <c r="X4" s="899"/>
      <c r="Y4" s="899"/>
      <c r="Z4" s="899"/>
      <c r="AA4" s="899"/>
      <c r="AB4" s="899"/>
      <c r="AC4" s="899"/>
      <c r="AD4" s="899"/>
    </row>
    <row r="5" spans="2:30" s="1" customFormat="1"/>
    <row r="6" spans="2:30" s="1" customFormat="1" ht="19.5" customHeight="1">
      <c r="B6" s="1161" t="s">
        <v>145</v>
      </c>
      <c r="C6" s="1161"/>
      <c r="D6" s="1161"/>
      <c r="E6" s="1161"/>
      <c r="F6" s="1161"/>
      <c r="G6" s="1162"/>
      <c r="H6" s="1163"/>
      <c r="I6" s="1163"/>
      <c r="J6" s="1163"/>
      <c r="K6" s="1163"/>
      <c r="L6" s="1163"/>
      <c r="M6" s="1163"/>
      <c r="N6" s="1163"/>
      <c r="O6" s="1163"/>
      <c r="P6" s="1163"/>
      <c r="Q6" s="1163"/>
      <c r="R6" s="1163"/>
      <c r="S6" s="1163"/>
      <c r="T6" s="1163"/>
      <c r="U6" s="1163"/>
      <c r="V6" s="1163"/>
      <c r="W6" s="1163"/>
      <c r="X6" s="1163"/>
      <c r="Y6" s="1163"/>
      <c r="Z6" s="1163"/>
      <c r="AA6" s="1163"/>
      <c r="AB6" s="1163"/>
      <c r="AC6" s="1163"/>
      <c r="AD6" s="1164"/>
    </row>
    <row r="7" spans="2:30" s="1" customFormat="1" ht="19.5" customHeight="1">
      <c r="B7" s="904" t="s">
        <v>63</v>
      </c>
      <c r="C7" s="905"/>
      <c r="D7" s="905"/>
      <c r="E7" s="905"/>
      <c r="F7" s="906"/>
      <c r="G7" s="346" t="s">
        <v>194</v>
      </c>
      <c r="H7" s="364" t="s">
        <v>840</v>
      </c>
      <c r="I7" s="364"/>
      <c r="J7" s="364"/>
      <c r="K7" s="364"/>
      <c r="L7" s="12" t="s">
        <v>194</v>
      </c>
      <c r="M7" s="364" t="s">
        <v>841</v>
      </c>
      <c r="N7" s="364"/>
      <c r="O7" s="364"/>
      <c r="P7" s="364"/>
      <c r="Q7" s="12" t="s">
        <v>194</v>
      </c>
      <c r="R7" s="364" t="s">
        <v>842</v>
      </c>
      <c r="S7" s="364"/>
      <c r="T7" s="364"/>
      <c r="U7" s="364"/>
      <c r="V7" s="364"/>
      <c r="W7" s="364"/>
      <c r="X7" s="364"/>
      <c r="Y7" s="364"/>
      <c r="Z7" s="364"/>
      <c r="AA7" s="364"/>
      <c r="AB7" s="364"/>
      <c r="AC7" s="364"/>
      <c r="AD7" s="365"/>
    </row>
    <row r="8" spans="2:30" ht="19.5" customHeight="1">
      <c r="B8" s="1038" t="s">
        <v>94</v>
      </c>
      <c r="C8" s="1039"/>
      <c r="D8" s="1039"/>
      <c r="E8" s="1039"/>
      <c r="F8" s="1040"/>
      <c r="G8" s="12" t="s">
        <v>194</v>
      </c>
      <c r="H8" s="22" t="s">
        <v>843</v>
      </c>
      <c r="I8" s="22"/>
      <c r="J8" s="22"/>
      <c r="K8" s="22"/>
      <c r="L8" s="22"/>
      <c r="M8" s="22"/>
      <c r="N8" s="22"/>
      <c r="O8" s="22"/>
      <c r="P8" s="12" t="s">
        <v>194</v>
      </c>
      <c r="Q8" s="22" t="s">
        <v>1050</v>
      </c>
      <c r="R8" s="413"/>
      <c r="S8" s="413"/>
      <c r="T8" s="413"/>
      <c r="U8" s="413"/>
      <c r="V8" s="413"/>
      <c r="W8" s="413"/>
      <c r="X8" s="413"/>
      <c r="Y8" s="413"/>
      <c r="Z8" s="413"/>
      <c r="AA8" s="413"/>
      <c r="AB8" s="413"/>
      <c r="AC8" s="413"/>
      <c r="AD8" s="414"/>
    </row>
    <row r="9" spans="2:30" ht="19.5" customHeight="1">
      <c r="B9" s="1158"/>
      <c r="C9" s="1159"/>
      <c r="D9" s="1159"/>
      <c r="E9" s="1159"/>
      <c r="F9" s="1160"/>
      <c r="G9" s="386" t="s">
        <v>194</v>
      </c>
      <c r="H9" s="297" t="s">
        <v>1051</v>
      </c>
      <c r="I9" s="297"/>
      <c r="J9" s="297"/>
      <c r="K9" s="297"/>
      <c r="L9" s="297"/>
      <c r="M9" s="297"/>
      <c r="N9" s="297"/>
      <c r="O9" s="297"/>
      <c r="P9" s="394"/>
      <c r="Q9" s="395"/>
      <c r="R9" s="395"/>
      <c r="S9" s="395"/>
      <c r="T9" s="395"/>
      <c r="U9" s="395"/>
      <c r="V9" s="395"/>
      <c r="W9" s="395"/>
      <c r="X9" s="395"/>
      <c r="Y9" s="395"/>
      <c r="Z9" s="395"/>
      <c r="AA9" s="395"/>
      <c r="AB9" s="395"/>
      <c r="AC9" s="395"/>
      <c r="AD9" s="396"/>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241"/>
      <c r="Z12" s="241"/>
      <c r="AA12" s="400" t="s">
        <v>662</v>
      </c>
      <c r="AB12" s="400" t="s">
        <v>663</v>
      </c>
      <c r="AC12" s="400" t="s">
        <v>664</v>
      </c>
      <c r="AD12" s="242"/>
    </row>
    <row r="13" spans="2:30" s="1" customFormat="1">
      <c r="B13" s="241"/>
      <c r="Z13" s="241"/>
      <c r="AD13" s="242"/>
    </row>
    <row r="14" spans="2:30" s="1" customFormat="1" ht="19.5" customHeight="1">
      <c r="B14" s="241"/>
      <c r="C14" s="1" t="s">
        <v>517</v>
      </c>
      <c r="D14" s="12"/>
      <c r="E14" s="12"/>
      <c r="F14" s="12"/>
      <c r="G14" s="12"/>
      <c r="H14" s="12"/>
      <c r="I14" s="12"/>
      <c r="J14" s="12"/>
      <c r="K14" s="12"/>
      <c r="L14" s="12"/>
      <c r="M14" s="12"/>
      <c r="N14" s="12"/>
      <c r="O14" s="12"/>
      <c r="Z14" s="408"/>
      <c r="AA14" s="12" t="s">
        <v>194</v>
      </c>
      <c r="AB14" s="12" t="s">
        <v>663</v>
      </c>
      <c r="AC14" s="12" t="s">
        <v>194</v>
      </c>
      <c r="AD14" s="242"/>
    </row>
    <row r="15" spans="2:30" s="1" customFormat="1">
      <c r="B15" s="241"/>
      <c r="D15" s="12"/>
      <c r="E15" s="12"/>
      <c r="F15" s="12"/>
      <c r="G15" s="12"/>
      <c r="H15" s="12"/>
      <c r="I15" s="12"/>
      <c r="J15" s="12"/>
      <c r="K15" s="12"/>
      <c r="L15" s="12"/>
      <c r="M15" s="12"/>
      <c r="N15" s="12"/>
      <c r="O15" s="12"/>
      <c r="Z15" s="377"/>
      <c r="AA15" s="12"/>
      <c r="AB15" s="12"/>
      <c r="AC15" s="12"/>
      <c r="AD15" s="242"/>
    </row>
    <row r="16" spans="2:30" s="1" customFormat="1" ht="19.5" customHeight="1">
      <c r="B16" s="241"/>
      <c r="C16" s="1" t="s">
        <v>518</v>
      </c>
      <c r="D16" s="12"/>
      <c r="E16" s="12"/>
      <c r="F16" s="12"/>
      <c r="G16" s="12"/>
      <c r="H16" s="12"/>
      <c r="I16" s="12"/>
      <c r="J16" s="12"/>
      <c r="K16" s="12"/>
      <c r="L16" s="12"/>
      <c r="M16" s="12"/>
      <c r="N16" s="12"/>
      <c r="O16" s="12"/>
      <c r="Z16" s="408"/>
      <c r="AA16" s="12" t="s">
        <v>194</v>
      </c>
      <c r="AB16" s="12" t="s">
        <v>663</v>
      </c>
      <c r="AC16" s="12" t="s">
        <v>194</v>
      </c>
      <c r="AD16" s="242"/>
    </row>
    <row r="17" spans="2:30" s="1" customFormat="1">
      <c r="B17" s="241"/>
      <c r="L17" s="12"/>
      <c r="Q17" s="12"/>
      <c r="W17" s="12"/>
      <c r="Z17" s="241"/>
      <c r="AD17" s="242"/>
    </row>
    <row r="18" spans="2:30" s="1" customFormat="1">
      <c r="B18" s="241"/>
      <c r="C18" s="1" t="s">
        <v>519</v>
      </c>
      <c r="Z18" s="241"/>
      <c r="AD18" s="242"/>
    </row>
    <row r="19" spans="2:30" s="1" customFormat="1" ht="6.75" customHeight="1">
      <c r="B19" s="241"/>
      <c r="Z19" s="241"/>
      <c r="AD19" s="242"/>
    </row>
    <row r="20" spans="2:30" s="1" customFormat="1" ht="23.25" customHeight="1">
      <c r="B20" s="241" t="s">
        <v>174</v>
      </c>
      <c r="C20" s="904" t="s">
        <v>167</v>
      </c>
      <c r="D20" s="905"/>
      <c r="E20" s="905"/>
      <c r="F20" s="905"/>
      <c r="G20" s="905"/>
      <c r="H20" s="906"/>
      <c r="I20" s="904"/>
      <c r="J20" s="905"/>
      <c r="K20" s="905"/>
      <c r="L20" s="905"/>
      <c r="M20" s="905"/>
      <c r="N20" s="905"/>
      <c r="O20" s="905"/>
      <c r="P20" s="905"/>
      <c r="Q20" s="905"/>
      <c r="R20" s="905"/>
      <c r="S20" s="905"/>
      <c r="T20" s="905"/>
      <c r="U20" s="905"/>
      <c r="V20" s="905"/>
      <c r="W20" s="905"/>
      <c r="X20" s="906"/>
      <c r="Y20" s="2"/>
      <c r="Z20" s="338"/>
      <c r="AA20" s="2"/>
      <c r="AB20" s="2"/>
      <c r="AC20" s="2"/>
      <c r="AD20" s="242"/>
    </row>
    <row r="21" spans="2:30" s="1" customFormat="1" ht="23.25" customHeight="1">
      <c r="B21" s="241" t="s">
        <v>174</v>
      </c>
      <c r="C21" s="904" t="s">
        <v>175</v>
      </c>
      <c r="D21" s="905"/>
      <c r="E21" s="905"/>
      <c r="F21" s="905"/>
      <c r="G21" s="905"/>
      <c r="H21" s="906"/>
      <c r="I21" s="904"/>
      <c r="J21" s="905"/>
      <c r="K21" s="905"/>
      <c r="L21" s="905"/>
      <c r="M21" s="905"/>
      <c r="N21" s="905"/>
      <c r="O21" s="905"/>
      <c r="P21" s="905"/>
      <c r="Q21" s="905"/>
      <c r="R21" s="905"/>
      <c r="S21" s="905"/>
      <c r="T21" s="905"/>
      <c r="U21" s="905"/>
      <c r="V21" s="905"/>
      <c r="W21" s="905"/>
      <c r="X21" s="906"/>
      <c r="Y21" s="2"/>
      <c r="Z21" s="338"/>
      <c r="AA21" s="2"/>
      <c r="AB21" s="2"/>
      <c r="AC21" s="2"/>
      <c r="AD21" s="242"/>
    </row>
    <row r="22" spans="2:30" s="1" customFormat="1" ht="23.25" customHeight="1">
      <c r="B22" s="241" t="s">
        <v>174</v>
      </c>
      <c r="C22" s="904" t="s">
        <v>168</v>
      </c>
      <c r="D22" s="905"/>
      <c r="E22" s="905"/>
      <c r="F22" s="905"/>
      <c r="G22" s="905"/>
      <c r="H22" s="906"/>
      <c r="I22" s="904"/>
      <c r="J22" s="905"/>
      <c r="K22" s="905"/>
      <c r="L22" s="905"/>
      <c r="M22" s="905"/>
      <c r="N22" s="905"/>
      <c r="O22" s="905"/>
      <c r="P22" s="905"/>
      <c r="Q22" s="905"/>
      <c r="R22" s="905"/>
      <c r="S22" s="905"/>
      <c r="T22" s="905"/>
      <c r="U22" s="905"/>
      <c r="V22" s="905"/>
      <c r="W22" s="905"/>
      <c r="X22" s="906"/>
      <c r="Y22" s="2"/>
      <c r="Z22" s="338"/>
      <c r="AA22" s="2"/>
      <c r="AB22" s="2"/>
      <c r="AC22" s="2"/>
      <c r="AD22" s="242"/>
    </row>
    <row r="23" spans="2:30" s="1" customFormat="1">
      <c r="B23" s="241"/>
      <c r="C23" s="12"/>
      <c r="D23" s="12"/>
      <c r="E23" s="12"/>
      <c r="F23" s="12"/>
      <c r="G23" s="12"/>
      <c r="H23" s="12"/>
      <c r="I23" s="2"/>
      <c r="J23" s="2"/>
      <c r="K23" s="2"/>
      <c r="L23" s="2"/>
      <c r="M23" s="2"/>
      <c r="N23" s="2"/>
      <c r="O23" s="2"/>
      <c r="P23" s="2"/>
      <c r="Q23" s="2"/>
      <c r="R23" s="2"/>
      <c r="S23" s="2"/>
      <c r="T23" s="2"/>
      <c r="U23" s="2"/>
      <c r="V23" s="2"/>
      <c r="W23" s="2"/>
      <c r="X23" s="2"/>
      <c r="Y23" s="2"/>
      <c r="Z23" s="338"/>
      <c r="AA23" s="2"/>
      <c r="AB23" s="2"/>
      <c r="AC23" s="2"/>
      <c r="AD23" s="242"/>
    </row>
    <row r="24" spans="2:30" s="1" customFormat="1" ht="27" customHeight="1">
      <c r="B24" s="241"/>
      <c r="C24" s="921" t="s">
        <v>861</v>
      </c>
      <c r="D24" s="921"/>
      <c r="E24" s="921"/>
      <c r="F24" s="921"/>
      <c r="G24" s="921"/>
      <c r="H24" s="921"/>
      <c r="I24" s="921"/>
      <c r="J24" s="921"/>
      <c r="K24" s="921"/>
      <c r="L24" s="921"/>
      <c r="M24" s="921"/>
      <c r="N24" s="921"/>
      <c r="O24" s="921"/>
      <c r="P24" s="921"/>
      <c r="Q24" s="921"/>
      <c r="R24" s="921"/>
      <c r="S24" s="921"/>
      <c r="T24" s="921"/>
      <c r="U24" s="921"/>
      <c r="V24" s="921"/>
      <c r="W24" s="921"/>
      <c r="X24" s="921"/>
      <c r="Y24" s="21"/>
      <c r="Z24" s="425"/>
      <c r="AA24" s="400" t="s">
        <v>662</v>
      </c>
      <c r="AB24" s="400" t="s">
        <v>663</v>
      </c>
      <c r="AC24" s="400" t="s">
        <v>664</v>
      </c>
      <c r="AD24" s="242"/>
    </row>
    <row r="25" spans="2:30" s="1" customFormat="1" ht="6" customHeight="1">
      <c r="B25" s="241"/>
      <c r="C25" s="12"/>
      <c r="D25" s="12"/>
      <c r="E25" s="12"/>
      <c r="F25" s="12"/>
      <c r="G25" s="12"/>
      <c r="H25" s="12"/>
      <c r="I25" s="12"/>
      <c r="J25" s="12"/>
      <c r="K25" s="12"/>
      <c r="L25" s="12"/>
      <c r="M25" s="12"/>
      <c r="N25" s="12"/>
      <c r="O25" s="12"/>
      <c r="Z25" s="241"/>
      <c r="AD25" s="242"/>
    </row>
    <row r="26" spans="2:30" s="1" customFormat="1" ht="19.5" customHeight="1">
      <c r="B26" s="241"/>
      <c r="D26" s="1" t="s">
        <v>1052</v>
      </c>
      <c r="E26" s="12"/>
      <c r="F26" s="12"/>
      <c r="G26" s="12"/>
      <c r="H26" s="12"/>
      <c r="I26" s="12"/>
      <c r="J26" s="12"/>
      <c r="K26" s="12"/>
      <c r="L26" s="12"/>
      <c r="M26" s="12"/>
      <c r="N26" s="12"/>
      <c r="O26" s="12"/>
      <c r="Z26" s="408"/>
      <c r="AA26" s="899" t="s">
        <v>194</v>
      </c>
      <c r="AB26" s="12" t="s">
        <v>663</v>
      </c>
      <c r="AC26" s="899" t="s">
        <v>194</v>
      </c>
      <c r="AD26" s="242"/>
    </row>
    <row r="27" spans="2:30" s="1" customFormat="1" ht="19.5" customHeight="1">
      <c r="B27" s="241"/>
      <c r="D27" s="1" t="s">
        <v>1053</v>
      </c>
      <c r="E27" s="12"/>
      <c r="F27" s="12"/>
      <c r="G27" s="12"/>
      <c r="H27" s="12"/>
      <c r="I27" s="12"/>
      <c r="J27" s="12"/>
      <c r="K27" s="12"/>
      <c r="L27" s="12"/>
      <c r="M27" s="12"/>
      <c r="N27" s="12"/>
      <c r="O27" s="12"/>
      <c r="Z27" s="408"/>
      <c r="AA27" s="899"/>
      <c r="AB27" s="12"/>
      <c r="AC27" s="899"/>
      <c r="AD27" s="242"/>
    </row>
    <row r="28" spans="2:30" s="1" customFormat="1" ht="6.75" customHeight="1">
      <c r="B28" s="241"/>
      <c r="Z28" s="241"/>
      <c r="AD28" s="242"/>
    </row>
    <row r="29" spans="2:30" s="2" customFormat="1" ht="18" customHeight="1">
      <c r="B29" s="362"/>
      <c r="D29" s="2" t="s">
        <v>521</v>
      </c>
      <c r="Z29" s="408"/>
      <c r="AA29" s="12" t="s">
        <v>194</v>
      </c>
      <c r="AB29" s="12" t="s">
        <v>663</v>
      </c>
      <c r="AC29" s="12" t="s">
        <v>194</v>
      </c>
      <c r="AD29" s="385"/>
    </row>
    <row r="30" spans="2:30" s="1" customFormat="1" ht="6.75" customHeight="1">
      <c r="B30" s="241"/>
      <c r="Z30" s="241"/>
      <c r="AD30" s="242"/>
    </row>
    <row r="31" spans="2:30" s="2" customFormat="1" ht="18" customHeight="1">
      <c r="B31" s="362"/>
      <c r="D31" s="2" t="s">
        <v>522</v>
      </c>
      <c r="Z31" s="408"/>
      <c r="AA31" s="12" t="s">
        <v>194</v>
      </c>
      <c r="AB31" s="12" t="s">
        <v>663</v>
      </c>
      <c r="AC31" s="12" t="s">
        <v>194</v>
      </c>
      <c r="AD31" s="385"/>
    </row>
    <row r="32" spans="2:30" s="1" customFormat="1" ht="6.75" customHeight="1">
      <c r="B32" s="241"/>
      <c r="Z32" s="241"/>
      <c r="AD32" s="242"/>
    </row>
    <row r="33" spans="1:31" s="2" customFormat="1" ht="18" customHeight="1">
      <c r="B33" s="362"/>
      <c r="D33" s="2" t="s">
        <v>523</v>
      </c>
      <c r="Z33" s="408"/>
      <c r="AA33" s="12" t="s">
        <v>194</v>
      </c>
      <c r="AB33" s="12" t="s">
        <v>663</v>
      </c>
      <c r="AC33" s="12" t="s">
        <v>194</v>
      </c>
      <c r="AD33" s="385"/>
    </row>
    <row r="34" spans="1:31" s="1" customFormat="1" ht="6.75" customHeight="1">
      <c r="B34" s="241"/>
      <c r="Z34" s="241"/>
      <c r="AD34" s="242"/>
    </row>
    <row r="35" spans="1:31" s="2" customFormat="1" ht="18" customHeight="1">
      <c r="B35" s="362"/>
      <c r="D35" s="2" t="s">
        <v>524</v>
      </c>
      <c r="Z35" s="408"/>
      <c r="AA35" s="12" t="s">
        <v>194</v>
      </c>
      <c r="AB35" s="12" t="s">
        <v>663</v>
      </c>
      <c r="AC35" s="12" t="s">
        <v>194</v>
      </c>
      <c r="AD35" s="385"/>
    </row>
    <row r="36" spans="1:31" s="1" customFormat="1" ht="6.75" customHeight="1">
      <c r="B36" s="241"/>
      <c r="Z36" s="241"/>
      <c r="AD36" s="242"/>
    </row>
    <row r="37" spans="1:31" ht="18" customHeight="1">
      <c r="B37" s="243"/>
      <c r="D37" s="2" t="s">
        <v>525</v>
      </c>
      <c r="Z37" s="408"/>
      <c r="AA37" s="12" t="s">
        <v>194</v>
      </c>
      <c r="AB37" s="12" t="s">
        <v>663</v>
      </c>
      <c r="AC37" s="12" t="s">
        <v>194</v>
      </c>
      <c r="AD37" s="233"/>
    </row>
    <row r="38" spans="1:31">
      <c r="B38" s="243"/>
      <c r="Y38" s="233"/>
      <c r="AD38" s="233"/>
      <c r="AE38" s="300"/>
    </row>
    <row r="39" spans="1:31" ht="27" customHeight="1">
      <c r="A39" s="233"/>
      <c r="B39" s="388"/>
      <c r="C39" s="928" t="s">
        <v>526</v>
      </c>
      <c r="D39" s="928"/>
      <c r="E39" s="928"/>
      <c r="F39" s="928"/>
      <c r="G39" s="928"/>
      <c r="H39" s="928"/>
      <c r="I39" s="928"/>
      <c r="J39" s="928"/>
      <c r="K39" s="928"/>
      <c r="L39" s="928"/>
      <c r="M39" s="928"/>
      <c r="N39" s="928"/>
      <c r="O39" s="928"/>
      <c r="P39" s="928"/>
      <c r="Q39" s="928"/>
      <c r="R39" s="928"/>
      <c r="S39" s="928"/>
      <c r="T39" s="928"/>
      <c r="U39" s="928"/>
      <c r="V39" s="928"/>
      <c r="W39" s="928"/>
      <c r="X39" s="928"/>
      <c r="Y39" s="356"/>
      <c r="Z39" s="531"/>
      <c r="AA39" s="387" t="s">
        <v>194</v>
      </c>
      <c r="AB39" s="387" t="s">
        <v>663</v>
      </c>
      <c r="AC39" s="387" t="s">
        <v>194</v>
      </c>
      <c r="AD39" s="60"/>
      <c r="AE39" s="300"/>
    </row>
    <row r="40" spans="1:31" s="2" customFormat="1">
      <c r="B40" s="244" t="s">
        <v>527</v>
      </c>
    </row>
    <row r="41" spans="1:31" s="2" customFormat="1">
      <c r="B41" s="244" t="s">
        <v>528</v>
      </c>
    </row>
    <row r="42" spans="1:31" s="2" customFormat="1">
      <c r="B42" s="244" t="s">
        <v>529</v>
      </c>
    </row>
    <row r="122" spans="3:7">
      <c r="C122" s="59"/>
      <c r="D122" s="59"/>
      <c r="E122" s="59"/>
      <c r="F122" s="59"/>
      <c r="G122" s="59"/>
    </row>
    <row r="123" spans="3:7">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3"/>
  <dataValidations count="1">
    <dataValidation type="list" allowBlank="1" showInputMessage="1" showErrorMessage="1" sqref="AA14 G7:G9 L7 Q7 P8 AC14 AA16 AC16 AC39 AA26 AA29 AC29 AA31 AC31 AA33 AC33 AA35 AC35 AA37 AC37 AA39 AC26" xr:uid="{4A31B4C5-DC4E-4146-BE50-5983A513C7F5}">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C6DBE-3055-4D06-9335-39395132B111}">
  <sheetPr>
    <tabColor rgb="FFFFFF00"/>
    <pageSetUpPr fitToPage="1"/>
  </sheetPr>
  <dimension ref="B2:AJ123"/>
  <sheetViews>
    <sheetView view="pageBreakPreview" zoomScaleNormal="100" zoomScaleSheetLayoutView="100" zoomScalePageLayoutView="85" workbookViewId="0">
      <selection activeCell="AE22" sqref="AE22"/>
    </sheetView>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c r="B2" s="1" t="s">
        <v>1017</v>
      </c>
    </row>
    <row r="3" spans="2:31">
      <c r="U3" s="2"/>
      <c r="X3" s="45" t="s">
        <v>313</v>
      </c>
      <c r="Y3" s="899"/>
      <c r="Z3" s="899"/>
      <c r="AA3" s="45" t="s">
        <v>34</v>
      </c>
      <c r="AB3" s="12"/>
      <c r="AC3" s="45" t="s">
        <v>654</v>
      </c>
      <c r="AD3" s="12"/>
      <c r="AE3" s="45" t="s">
        <v>376</v>
      </c>
    </row>
    <row r="4" spans="2:31">
      <c r="T4" s="383"/>
      <c r="U4" s="383"/>
      <c r="V4" s="383"/>
    </row>
    <row r="5" spans="2:31">
      <c r="B5" s="899" t="s">
        <v>653</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row>
    <row r="6" spans="2:31" ht="65.25" customHeight="1">
      <c r="B6" s="1166" t="s">
        <v>1018</v>
      </c>
      <c r="C6" s="1166"/>
      <c r="D6" s="1166"/>
      <c r="E6" s="1166"/>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2"/>
    </row>
    <row r="7" spans="2:31" ht="23.25" customHeight="1"/>
    <row r="8" spans="2:31" ht="23.25" customHeight="1">
      <c r="B8" s="432" t="s">
        <v>145</v>
      </c>
      <c r="C8" s="432"/>
      <c r="D8" s="432"/>
      <c r="E8" s="432"/>
      <c r="F8" s="904"/>
      <c r="G8" s="905"/>
      <c r="H8" s="905"/>
      <c r="I8" s="905"/>
      <c r="J8" s="905"/>
      <c r="K8" s="905"/>
      <c r="L8" s="905"/>
      <c r="M8" s="905"/>
      <c r="N8" s="905"/>
      <c r="O8" s="905"/>
      <c r="P8" s="905"/>
      <c r="Q8" s="905"/>
      <c r="R8" s="905"/>
      <c r="S8" s="905"/>
      <c r="T8" s="905"/>
      <c r="U8" s="905"/>
      <c r="V8" s="905"/>
      <c r="W8" s="905"/>
      <c r="X8" s="905"/>
      <c r="Y8" s="905"/>
      <c r="Z8" s="905"/>
      <c r="AA8" s="905"/>
      <c r="AB8" s="905"/>
      <c r="AC8" s="905"/>
      <c r="AD8" s="905"/>
      <c r="AE8" s="906"/>
    </row>
    <row r="9" spans="2:31" ht="24.9" customHeight="1">
      <c r="B9" s="432" t="s">
        <v>655</v>
      </c>
      <c r="C9" s="432"/>
      <c r="D9" s="432"/>
      <c r="E9" s="432"/>
      <c r="F9" s="346" t="s">
        <v>194</v>
      </c>
      <c r="G9" s="364" t="s">
        <v>656</v>
      </c>
      <c r="H9" s="364"/>
      <c r="I9" s="364"/>
      <c r="J9" s="364"/>
      <c r="K9" s="347" t="s">
        <v>194</v>
      </c>
      <c r="L9" s="364" t="s">
        <v>657</v>
      </c>
      <c r="M9" s="364"/>
      <c r="N9" s="364"/>
      <c r="O9" s="364"/>
      <c r="P9" s="364"/>
      <c r="Q9" s="347" t="s">
        <v>194</v>
      </c>
      <c r="R9" s="364" t="s">
        <v>658</v>
      </c>
      <c r="S9" s="364"/>
      <c r="T9" s="364"/>
      <c r="U9" s="364"/>
      <c r="V9" s="364"/>
      <c r="W9" s="364"/>
      <c r="X9" s="364"/>
      <c r="Y9" s="364"/>
      <c r="Z9" s="364"/>
      <c r="AA9" s="364"/>
      <c r="AB9" s="364"/>
      <c r="AC9" s="364"/>
      <c r="AD9" s="10"/>
      <c r="AE9" s="11"/>
    </row>
    <row r="10" spans="2:31" ht="24.9" customHeight="1">
      <c r="B10" s="1038" t="s">
        <v>659</v>
      </c>
      <c r="C10" s="1039"/>
      <c r="D10" s="1039"/>
      <c r="E10" s="1040"/>
      <c r="F10" s="12" t="s">
        <v>194</v>
      </c>
      <c r="G10" s="2" t="s">
        <v>1019</v>
      </c>
      <c r="H10" s="2"/>
      <c r="I10" s="2"/>
      <c r="J10" s="2"/>
      <c r="K10" s="2"/>
      <c r="L10" s="2"/>
      <c r="M10" s="2"/>
      <c r="N10" s="2"/>
      <c r="O10" s="2"/>
      <c r="Q10" s="7"/>
      <c r="R10" s="361" t="s">
        <v>194</v>
      </c>
      <c r="S10" s="2" t="s">
        <v>1020</v>
      </c>
      <c r="T10" s="2"/>
      <c r="U10" s="2"/>
      <c r="V10" s="2"/>
      <c r="W10" s="22"/>
      <c r="X10" s="22"/>
      <c r="Y10" s="22"/>
      <c r="Z10" s="22"/>
      <c r="AA10" s="22"/>
      <c r="AB10" s="22"/>
      <c r="AC10" s="22"/>
      <c r="AD10" s="7"/>
      <c r="AE10" s="4"/>
    </row>
    <row r="11" spans="2:31" ht="24.9" customHeight="1">
      <c r="B11" s="1041"/>
      <c r="C11" s="899"/>
      <c r="D11" s="899"/>
      <c r="E11" s="1042"/>
      <c r="F11" s="12" t="s">
        <v>194</v>
      </c>
      <c r="G11" s="2" t="s">
        <v>1021</v>
      </c>
      <c r="H11" s="2"/>
      <c r="I11" s="2"/>
      <c r="J11" s="2"/>
      <c r="K11" s="2"/>
      <c r="L11" s="2"/>
      <c r="M11" s="2"/>
      <c r="N11" s="2"/>
      <c r="O11" s="2"/>
      <c r="R11" s="12" t="s">
        <v>194</v>
      </c>
      <c r="S11" s="2" t="s">
        <v>1022</v>
      </c>
      <c r="T11" s="2"/>
      <c r="U11" s="2"/>
      <c r="V11" s="2"/>
      <c r="W11" s="2"/>
      <c r="X11" s="2"/>
      <c r="Y11" s="2"/>
      <c r="Z11" s="2"/>
      <c r="AA11" s="2"/>
      <c r="AB11" s="2"/>
      <c r="AC11" s="2"/>
      <c r="AE11" s="242"/>
    </row>
    <row r="12" spans="2:31" ht="24.9" customHeight="1">
      <c r="B12" s="1041"/>
      <c r="C12" s="899"/>
      <c r="D12" s="899"/>
      <c r="E12" s="1042"/>
      <c r="F12" s="12" t="s">
        <v>194</v>
      </c>
      <c r="G12" s="287" t="s">
        <v>1023</v>
      </c>
      <c r="H12" s="2"/>
      <c r="I12" s="2"/>
      <c r="J12" s="2"/>
      <c r="K12" s="2"/>
      <c r="L12" s="2"/>
      <c r="M12" s="2"/>
      <c r="N12" s="2"/>
      <c r="O12" s="2"/>
      <c r="R12" s="12" t="s">
        <v>194</v>
      </c>
      <c r="S12" s="287" t="s">
        <v>1024</v>
      </c>
      <c r="T12" s="2"/>
      <c r="U12" s="2"/>
      <c r="V12" s="2"/>
      <c r="W12" s="2"/>
      <c r="X12" s="2"/>
      <c r="Y12" s="2"/>
      <c r="Z12" s="2"/>
      <c r="AA12" s="2"/>
      <c r="AB12" s="2"/>
      <c r="AC12" s="2"/>
      <c r="AE12" s="242"/>
    </row>
    <row r="13" spans="2:31" ht="24.9" customHeight="1">
      <c r="B13" s="1041"/>
      <c r="C13" s="899"/>
      <c r="D13" s="899"/>
      <c r="E13" s="1042"/>
      <c r="F13" s="12" t="s">
        <v>194</v>
      </c>
      <c r="G13" s="2" t="s">
        <v>1025</v>
      </c>
      <c r="H13" s="2"/>
      <c r="I13" s="2"/>
      <c r="J13" s="2"/>
      <c r="K13" s="2"/>
      <c r="L13" s="2"/>
      <c r="M13"/>
      <c r="N13" s="2"/>
      <c r="O13" s="2"/>
      <c r="R13" s="12" t="s">
        <v>194</v>
      </c>
      <c r="S13" s="2" t="s">
        <v>1026</v>
      </c>
      <c r="T13" s="2"/>
      <c r="U13" s="2"/>
      <c r="V13" s="2"/>
      <c r="W13" s="2"/>
      <c r="X13" s="2"/>
      <c r="Y13" s="2"/>
      <c r="Z13" s="2"/>
      <c r="AA13" s="2"/>
      <c r="AB13" s="2"/>
      <c r="AC13" s="2"/>
      <c r="AE13" s="242"/>
    </row>
    <row r="14" spans="2:31" ht="24.9" customHeight="1">
      <c r="B14" s="1041"/>
      <c r="C14" s="899"/>
      <c r="D14" s="899"/>
      <c r="E14" s="1042"/>
      <c r="F14" s="12" t="s">
        <v>194</v>
      </c>
      <c r="G14" s="2" t="s">
        <v>1027</v>
      </c>
      <c r="H14" s="2"/>
      <c r="I14" s="2"/>
      <c r="J14" s="2"/>
      <c r="K14"/>
      <c r="L14" s="287"/>
      <c r="M14" s="501"/>
      <c r="N14" s="501"/>
      <c r="O14" s="287"/>
      <c r="R14" s="12"/>
      <c r="S14" s="2"/>
      <c r="T14" s="287"/>
      <c r="U14" s="287"/>
      <c r="V14" s="287"/>
      <c r="W14" s="287"/>
      <c r="X14" s="287"/>
      <c r="Y14" s="287"/>
      <c r="Z14" s="287"/>
      <c r="AA14" s="287"/>
      <c r="AB14" s="287"/>
      <c r="AC14" s="287"/>
      <c r="AE14" s="242"/>
    </row>
    <row r="15" spans="2:31" ht="24.9" customHeight="1">
      <c r="B15" s="432" t="s">
        <v>146</v>
      </c>
      <c r="C15" s="432"/>
      <c r="D15" s="432"/>
      <c r="E15" s="432"/>
      <c r="F15" s="346" t="s">
        <v>194</v>
      </c>
      <c r="G15" s="364" t="s">
        <v>660</v>
      </c>
      <c r="H15" s="433"/>
      <c r="I15" s="433"/>
      <c r="J15" s="433"/>
      <c r="K15" s="433"/>
      <c r="L15" s="433"/>
      <c r="M15" s="433"/>
      <c r="N15" s="433"/>
      <c r="O15" s="433"/>
      <c r="P15" s="433"/>
      <c r="Q15" s="10"/>
      <c r="R15" s="347" t="s">
        <v>194</v>
      </c>
      <c r="S15" s="364" t="s">
        <v>661</v>
      </c>
      <c r="T15" s="433"/>
      <c r="U15" s="433"/>
      <c r="V15" s="433"/>
      <c r="W15" s="433"/>
      <c r="X15" s="433"/>
      <c r="Y15" s="433"/>
      <c r="Z15" s="433"/>
      <c r="AA15" s="433"/>
      <c r="AB15" s="433"/>
      <c r="AC15" s="433"/>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46"/>
      <c r="AB17" s="347" t="s">
        <v>662</v>
      </c>
      <c r="AC17" s="347" t="s">
        <v>663</v>
      </c>
      <c r="AD17" s="347" t="s">
        <v>664</v>
      </c>
      <c r="AE17" s="11"/>
    </row>
    <row r="18" spans="2:31">
      <c r="B18" s="6" t="s">
        <v>665</v>
      </c>
      <c r="C18" s="7"/>
      <c r="D18" s="7"/>
      <c r="E18" s="7"/>
      <c r="F18" s="7"/>
      <c r="G18" s="7"/>
      <c r="H18" s="7"/>
      <c r="I18" s="7"/>
      <c r="J18" s="7"/>
      <c r="K18" s="7"/>
      <c r="L18" s="7"/>
      <c r="M18" s="7"/>
      <c r="N18" s="7"/>
      <c r="O18" s="7"/>
      <c r="P18" s="7"/>
      <c r="Q18" s="7"/>
      <c r="R18" s="7"/>
      <c r="S18" s="7"/>
      <c r="T18" s="7"/>
      <c r="U18" s="7"/>
      <c r="V18" s="7"/>
      <c r="W18" s="7"/>
      <c r="X18" s="7"/>
      <c r="Y18" s="7"/>
      <c r="Z18" s="23"/>
      <c r="AA18" s="360"/>
      <c r="AB18" s="361"/>
      <c r="AC18" s="361"/>
      <c r="AD18" s="7"/>
      <c r="AE18" s="4"/>
    </row>
    <row r="19" spans="2:31">
      <c r="B19" s="241"/>
      <c r="C19" s="434" t="s">
        <v>666</v>
      </c>
      <c r="D19" s="1" t="s">
        <v>667</v>
      </c>
      <c r="Z19" s="409"/>
      <c r="AA19" s="377"/>
      <c r="AB19" s="12" t="s">
        <v>194</v>
      </c>
      <c r="AC19" s="12" t="s">
        <v>663</v>
      </c>
      <c r="AD19" s="12" t="s">
        <v>194</v>
      </c>
      <c r="AE19" s="242"/>
    </row>
    <row r="20" spans="2:31">
      <c r="B20" s="241"/>
      <c r="D20" s="1" t="s">
        <v>668</v>
      </c>
      <c r="Z20" s="385"/>
      <c r="AA20" s="362"/>
      <c r="AB20" s="12"/>
      <c r="AC20" s="12"/>
      <c r="AE20" s="242"/>
    </row>
    <row r="21" spans="2:31">
      <c r="B21" s="241"/>
      <c r="Z21" s="385"/>
      <c r="AA21" s="362"/>
      <c r="AB21" s="12"/>
      <c r="AC21" s="12"/>
      <c r="AE21" s="242"/>
    </row>
    <row r="22" spans="2:31" ht="13.5" customHeight="1">
      <c r="B22" s="241"/>
      <c r="D22" s="407" t="s">
        <v>669</v>
      </c>
      <c r="E22" s="364"/>
      <c r="F22" s="364"/>
      <c r="G22" s="364"/>
      <c r="H22" s="364"/>
      <c r="I22" s="364"/>
      <c r="J22" s="364"/>
      <c r="K22" s="364"/>
      <c r="L22" s="364"/>
      <c r="M22" s="364"/>
      <c r="N22" s="364"/>
      <c r="O22" s="10"/>
      <c r="P22" s="10"/>
      <c r="Q22" s="10"/>
      <c r="R22" s="10"/>
      <c r="S22" s="364"/>
      <c r="T22" s="364"/>
      <c r="U22" s="904"/>
      <c r="V22" s="905"/>
      <c r="W22" s="905"/>
      <c r="X22" s="10" t="s">
        <v>336</v>
      </c>
      <c r="Y22" s="241"/>
      <c r="Z22" s="385"/>
      <c r="AA22" s="362"/>
      <c r="AB22" s="12"/>
      <c r="AC22" s="12"/>
      <c r="AE22" s="242"/>
    </row>
    <row r="23" spans="2:31">
      <c r="B23" s="241"/>
      <c r="D23" s="407" t="s">
        <v>670</v>
      </c>
      <c r="E23" s="364"/>
      <c r="F23" s="364"/>
      <c r="G23" s="364"/>
      <c r="H23" s="364"/>
      <c r="I23" s="364"/>
      <c r="J23" s="364"/>
      <c r="K23" s="364"/>
      <c r="L23" s="364"/>
      <c r="M23" s="364"/>
      <c r="N23" s="364"/>
      <c r="O23" s="10"/>
      <c r="P23" s="10"/>
      <c r="Q23" s="10"/>
      <c r="R23" s="10"/>
      <c r="S23" s="364"/>
      <c r="T23" s="364"/>
      <c r="U23" s="904"/>
      <c r="V23" s="905"/>
      <c r="W23" s="905"/>
      <c r="X23" s="10" t="s">
        <v>336</v>
      </c>
      <c r="Y23" s="241"/>
      <c r="Z23" s="242"/>
      <c r="AA23" s="362"/>
      <c r="AB23" s="12"/>
      <c r="AC23" s="12"/>
      <c r="AE23" s="242"/>
    </row>
    <row r="24" spans="2:31">
      <c r="B24" s="241"/>
      <c r="D24" s="407" t="s">
        <v>671</v>
      </c>
      <c r="E24" s="364"/>
      <c r="F24" s="364"/>
      <c r="G24" s="364"/>
      <c r="H24" s="364"/>
      <c r="I24" s="364"/>
      <c r="J24" s="364"/>
      <c r="K24" s="364"/>
      <c r="L24" s="364"/>
      <c r="M24" s="364"/>
      <c r="N24" s="364"/>
      <c r="O24" s="10"/>
      <c r="P24" s="10"/>
      <c r="Q24" s="10"/>
      <c r="R24" s="10"/>
      <c r="S24" s="364"/>
      <c r="T24" s="435" t="str">
        <f>(IFERROR(ROUNDDOWN(T23/T22*100,0),""))</f>
        <v/>
      </c>
      <c r="U24" s="1167" t="str">
        <f>(IFERROR(ROUNDDOWN(U23/U22*100,0),""))</f>
        <v/>
      </c>
      <c r="V24" s="1168"/>
      <c r="W24" s="1168"/>
      <c r="X24" s="10" t="s">
        <v>61</v>
      </c>
      <c r="Y24" s="241"/>
      <c r="Z24" s="363"/>
      <c r="AA24" s="362"/>
      <c r="AB24" s="12"/>
      <c r="AC24" s="12"/>
      <c r="AE24" s="242"/>
    </row>
    <row r="25" spans="2:31">
      <c r="B25" s="241"/>
      <c r="D25" s="1" t="s">
        <v>672</v>
      </c>
      <c r="Z25" s="363"/>
      <c r="AA25" s="362"/>
      <c r="AB25" s="12"/>
      <c r="AC25" s="12"/>
      <c r="AE25" s="242"/>
    </row>
    <row r="26" spans="2:31">
      <c r="B26" s="241"/>
      <c r="E26" s="1" t="s">
        <v>673</v>
      </c>
      <c r="Z26" s="363"/>
      <c r="AA26" s="362"/>
      <c r="AB26" s="12"/>
      <c r="AC26" s="12"/>
      <c r="AE26" s="242"/>
    </row>
    <row r="27" spans="2:31">
      <c r="B27" s="241"/>
      <c r="Z27" s="363"/>
      <c r="AA27" s="362"/>
      <c r="AB27" s="12"/>
      <c r="AC27" s="12"/>
      <c r="AE27" s="242"/>
    </row>
    <row r="28" spans="2:31">
      <c r="B28" s="241"/>
      <c r="C28" s="434" t="s">
        <v>674</v>
      </c>
      <c r="D28" s="1" t="s">
        <v>675</v>
      </c>
      <c r="Z28" s="409"/>
      <c r="AA28" s="362"/>
      <c r="AB28" s="12" t="s">
        <v>194</v>
      </c>
      <c r="AC28" s="12" t="s">
        <v>663</v>
      </c>
      <c r="AD28" s="12" t="s">
        <v>194</v>
      </c>
      <c r="AE28" s="242"/>
    </row>
    <row r="29" spans="2:31">
      <c r="B29" s="241"/>
      <c r="C29" s="434"/>
      <c r="D29" s="1" t="s">
        <v>676</v>
      </c>
      <c r="Z29" s="409"/>
      <c r="AA29" s="362"/>
      <c r="AB29" s="12"/>
      <c r="AC29" s="12"/>
      <c r="AD29" s="12"/>
      <c r="AE29" s="242"/>
    </row>
    <row r="30" spans="2:31">
      <c r="B30" s="241"/>
      <c r="C30" s="434"/>
      <c r="D30" s="1" t="s">
        <v>677</v>
      </c>
      <c r="Z30" s="409"/>
      <c r="AA30" s="377"/>
      <c r="AB30" s="12"/>
      <c r="AC30" s="367"/>
      <c r="AE30" s="242"/>
    </row>
    <row r="31" spans="2:31">
      <c r="B31" s="241"/>
      <c r="Z31" s="363"/>
      <c r="AA31" s="362"/>
      <c r="AB31" s="12"/>
      <c r="AC31" s="12"/>
      <c r="AE31" s="242"/>
    </row>
    <row r="32" spans="2:31" ht="13.5" customHeight="1">
      <c r="B32" s="241"/>
      <c r="C32" s="434"/>
      <c r="D32" s="407" t="s">
        <v>678</v>
      </c>
      <c r="E32" s="364"/>
      <c r="F32" s="364"/>
      <c r="G32" s="364"/>
      <c r="H32" s="364"/>
      <c r="I32" s="364"/>
      <c r="J32" s="364"/>
      <c r="K32" s="364"/>
      <c r="L32" s="364"/>
      <c r="M32" s="364"/>
      <c r="N32" s="364"/>
      <c r="O32" s="10"/>
      <c r="P32" s="10"/>
      <c r="Q32" s="10"/>
      <c r="R32" s="10"/>
      <c r="S32" s="10"/>
      <c r="T32" s="11"/>
      <c r="U32" s="904"/>
      <c r="V32" s="905"/>
      <c r="W32" s="905"/>
      <c r="X32" s="11" t="s">
        <v>336</v>
      </c>
      <c r="Y32" s="241"/>
      <c r="Z32" s="363"/>
      <c r="AA32" s="362"/>
      <c r="AB32" s="12"/>
      <c r="AC32" s="12"/>
      <c r="AE32" s="242"/>
    </row>
    <row r="33" spans="2:32">
      <c r="B33" s="241"/>
      <c r="C33" s="434"/>
      <c r="D33" s="2"/>
      <c r="E33" s="2"/>
      <c r="F33" s="2"/>
      <c r="G33" s="2"/>
      <c r="H33" s="2"/>
      <c r="I33" s="2"/>
      <c r="J33" s="2"/>
      <c r="K33" s="2"/>
      <c r="L33" s="2"/>
      <c r="M33" s="2"/>
      <c r="N33" s="2"/>
      <c r="U33" s="12"/>
      <c r="V33" s="12"/>
      <c r="W33" s="12"/>
      <c r="Z33" s="363"/>
      <c r="AA33" s="362"/>
      <c r="AB33" s="12"/>
      <c r="AC33" s="12"/>
      <c r="AE33" s="242"/>
    </row>
    <row r="34" spans="2:32" ht="13.5" customHeight="1">
      <c r="B34" s="241"/>
      <c r="C34" s="434"/>
      <c r="E34" s="500" t="s">
        <v>679</v>
      </c>
      <c r="Z34" s="363"/>
      <c r="AA34" s="362"/>
      <c r="AB34" s="12"/>
      <c r="AC34" s="12"/>
      <c r="AE34" s="242"/>
    </row>
    <row r="35" spans="2:32">
      <c r="B35" s="241"/>
      <c r="C35" s="434"/>
      <c r="E35" s="1165" t="s">
        <v>680</v>
      </c>
      <c r="F35" s="1165"/>
      <c r="G35" s="1165"/>
      <c r="H35" s="1165"/>
      <c r="I35" s="1165"/>
      <c r="J35" s="1165"/>
      <c r="K35" s="1165"/>
      <c r="L35" s="1165"/>
      <c r="M35" s="1165"/>
      <c r="N35" s="1165"/>
      <c r="O35" s="1165" t="s">
        <v>681</v>
      </c>
      <c r="P35" s="1165"/>
      <c r="Q35" s="1165"/>
      <c r="R35" s="1165"/>
      <c r="S35" s="1165"/>
      <c r="Z35" s="363"/>
      <c r="AA35" s="362"/>
      <c r="AB35" s="12"/>
      <c r="AC35" s="12"/>
      <c r="AE35" s="242"/>
    </row>
    <row r="36" spans="2:32">
      <c r="B36" s="241"/>
      <c r="C36" s="434"/>
      <c r="E36" s="1165" t="s">
        <v>682</v>
      </c>
      <c r="F36" s="1165"/>
      <c r="G36" s="1165"/>
      <c r="H36" s="1165"/>
      <c r="I36" s="1165"/>
      <c r="J36" s="1165"/>
      <c r="K36" s="1165"/>
      <c r="L36" s="1165"/>
      <c r="M36" s="1165"/>
      <c r="N36" s="1165"/>
      <c r="O36" s="1165" t="s">
        <v>683</v>
      </c>
      <c r="P36" s="1165"/>
      <c r="Q36" s="1165"/>
      <c r="R36" s="1165"/>
      <c r="S36" s="1165"/>
      <c r="Z36" s="363"/>
      <c r="AA36" s="362"/>
      <c r="AB36" s="12"/>
      <c r="AC36" s="12"/>
      <c r="AE36" s="242"/>
    </row>
    <row r="37" spans="2:32">
      <c r="B37" s="241"/>
      <c r="C37" s="434"/>
      <c r="E37" s="1165" t="s">
        <v>684</v>
      </c>
      <c r="F37" s="1165"/>
      <c r="G37" s="1165"/>
      <c r="H37" s="1165"/>
      <c r="I37" s="1165"/>
      <c r="J37" s="1165"/>
      <c r="K37" s="1165"/>
      <c r="L37" s="1165"/>
      <c r="M37" s="1165"/>
      <c r="N37" s="1165"/>
      <c r="O37" s="1165" t="s">
        <v>685</v>
      </c>
      <c r="P37" s="1165"/>
      <c r="Q37" s="1165"/>
      <c r="R37" s="1165"/>
      <c r="S37" s="1165"/>
      <c r="Z37" s="363"/>
      <c r="AA37" s="362"/>
      <c r="AB37" s="12"/>
      <c r="AC37" s="12"/>
      <c r="AE37" s="242"/>
    </row>
    <row r="38" spans="2:32">
      <c r="B38" s="241"/>
      <c r="C38" s="434"/>
      <c r="D38" s="242"/>
      <c r="E38" s="1169" t="s">
        <v>686</v>
      </c>
      <c r="F38" s="1165"/>
      <c r="G38" s="1165"/>
      <c r="H38" s="1165"/>
      <c r="I38" s="1165"/>
      <c r="J38" s="1165"/>
      <c r="K38" s="1165"/>
      <c r="L38" s="1165"/>
      <c r="M38" s="1165"/>
      <c r="N38" s="1165"/>
      <c r="O38" s="1165" t="s">
        <v>687</v>
      </c>
      <c r="P38" s="1165"/>
      <c r="Q38" s="1165"/>
      <c r="R38" s="1165"/>
      <c r="S38" s="1170"/>
      <c r="T38" s="241"/>
      <c r="Z38" s="363"/>
      <c r="AA38" s="362"/>
      <c r="AB38" s="12"/>
      <c r="AC38" s="12"/>
      <c r="AE38" s="242"/>
    </row>
    <row r="39" spans="2:32">
      <c r="B39" s="241"/>
      <c r="C39" s="434"/>
      <c r="E39" s="1171" t="s">
        <v>688</v>
      </c>
      <c r="F39" s="1171"/>
      <c r="G39" s="1171"/>
      <c r="H39" s="1171"/>
      <c r="I39" s="1171"/>
      <c r="J39" s="1171"/>
      <c r="K39" s="1171"/>
      <c r="L39" s="1171"/>
      <c r="M39" s="1171"/>
      <c r="N39" s="1171"/>
      <c r="O39" s="1171" t="s">
        <v>689</v>
      </c>
      <c r="P39" s="1171"/>
      <c r="Q39" s="1171"/>
      <c r="R39" s="1171"/>
      <c r="S39" s="1171"/>
      <c r="Z39" s="363"/>
      <c r="AA39" s="362"/>
      <c r="AB39" s="12"/>
      <c r="AC39" s="12"/>
      <c r="AE39" s="242"/>
      <c r="AF39" s="241"/>
    </row>
    <row r="40" spans="2:32">
      <c r="B40" s="241"/>
      <c r="C40" s="434"/>
      <c r="E40" s="1165" t="s">
        <v>690</v>
      </c>
      <c r="F40" s="1165"/>
      <c r="G40" s="1165"/>
      <c r="H40" s="1165"/>
      <c r="I40" s="1165"/>
      <c r="J40" s="1165"/>
      <c r="K40" s="1165"/>
      <c r="L40" s="1165"/>
      <c r="M40" s="1165"/>
      <c r="N40" s="1165"/>
      <c r="O40" s="1165" t="s">
        <v>691</v>
      </c>
      <c r="P40" s="1165"/>
      <c r="Q40" s="1165"/>
      <c r="R40" s="1165"/>
      <c r="S40" s="1165"/>
      <c r="Z40" s="363"/>
      <c r="AA40" s="362"/>
      <c r="AB40" s="12"/>
      <c r="AC40" s="12"/>
      <c r="AE40" s="242"/>
    </row>
    <row r="41" spans="2:32">
      <c r="B41" s="241"/>
      <c r="C41" s="434"/>
      <c r="E41" s="1165" t="s">
        <v>692</v>
      </c>
      <c r="F41" s="1165"/>
      <c r="G41" s="1165"/>
      <c r="H41" s="1165"/>
      <c r="I41" s="1165"/>
      <c r="J41" s="1165"/>
      <c r="K41" s="1165"/>
      <c r="L41" s="1165"/>
      <c r="M41" s="1165"/>
      <c r="N41" s="1165"/>
      <c r="O41" s="1165" t="s">
        <v>693</v>
      </c>
      <c r="P41" s="1165"/>
      <c r="Q41" s="1165"/>
      <c r="R41" s="1165"/>
      <c r="S41" s="1165"/>
      <c r="Z41" s="363"/>
      <c r="AA41" s="362"/>
      <c r="AB41" s="12"/>
      <c r="AC41" s="12"/>
      <c r="AE41" s="242"/>
    </row>
    <row r="42" spans="2:32">
      <c r="B42" s="241"/>
      <c r="C42" s="434"/>
      <c r="E42" s="1165" t="s">
        <v>405</v>
      </c>
      <c r="F42" s="1165"/>
      <c r="G42" s="1165"/>
      <c r="H42" s="1165"/>
      <c r="I42" s="1165"/>
      <c r="J42" s="1165"/>
      <c r="K42" s="1165"/>
      <c r="L42" s="1165"/>
      <c r="M42" s="1165"/>
      <c r="N42" s="1165"/>
      <c r="O42" s="1165" t="s">
        <v>405</v>
      </c>
      <c r="P42" s="1165"/>
      <c r="Q42" s="1165"/>
      <c r="R42" s="1165"/>
      <c r="S42" s="1165"/>
      <c r="Z42" s="385"/>
      <c r="AA42" s="362"/>
      <c r="AB42" s="12"/>
      <c r="AC42" s="12"/>
      <c r="AE42" s="242"/>
    </row>
    <row r="43" spans="2:32">
      <c r="B43" s="241"/>
      <c r="C43" s="434"/>
      <c r="J43" s="899"/>
      <c r="K43" s="899"/>
      <c r="L43" s="899"/>
      <c r="M43" s="899"/>
      <c r="N43" s="899"/>
      <c r="O43" s="899"/>
      <c r="P43" s="899"/>
      <c r="Q43" s="899"/>
      <c r="R43" s="899"/>
      <c r="S43" s="899"/>
      <c r="T43" s="899"/>
      <c r="U43" s="899"/>
      <c r="V43" s="899"/>
      <c r="Z43" s="385"/>
      <c r="AA43" s="362"/>
      <c r="AB43" s="12"/>
      <c r="AC43" s="12"/>
      <c r="AE43" s="242"/>
    </row>
    <row r="44" spans="2:32">
      <c r="B44" s="241"/>
      <c r="C44" s="434" t="s">
        <v>694</v>
      </c>
      <c r="D44" s="1" t="s">
        <v>695</v>
      </c>
      <c r="Z44" s="409"/>
      <c r="AA44" s="377"/>
      <c r="AB44" s="12" t="s">
        <v>194</v>
      </c>
      <c r="AC44" s="12" t="s">
        <v>663</v>
      </c>
      <c r="AD44" s="12" t="s">
        <v>194</v>
      </c>
      <c r="AE44" s="242"/>
    </row>
    <row r="45" spans="2:32" ht="14.25" customHeight="1">
      <c r="B45" s="241"/>
      <c r="D45" s="1" t="s">
        <v>696</v>
      </c>
      <c r="Z45" s="363"/>
      <c r="AA45" s="362"/>
      <c r="AB45" s="12"/>
      <c r="AC45" s="12"/>
      <c r="AE45" s="242"/>
    </row>
    <row r="46" spans="2:32">
      <c r="B46" s="241"/>
      <c r="Z46" s="385"/>
      <c r="AA46" s="362"/>
      <c r="AB46" s="12"/>
      <c r="AC46" s="12"/>
      <c r="AE46" s="242"/>
    </row>
    <row r="47" spans="2:32">
      <c r="B47" s="241" t="s">
        <v>697</v>
      </c>
      <c r="Z47" s="363"/>
      <c r="AA47" s="362"/>
      <c r="AB47" s="12"/>
      <c r="AC47" s="12"/>
      <c r="AE47" s="242"/>
    </row>
    <row r="48" spans="2:32">
      <c r="B48" s="241"/>
      <c r="C48" s="434" t="s">
        <v>666</v>
      </c>
      <c r="D48" s="1" t="s">
        <v>698</v>
      </c>
      <c r="Z48" s="409"/>
      <c r="AA48" s="377"/>
      <c r="AB48" s="12" t="s">
        <v>194</v>
      </c>
      <c r="AC48" s="12" t="s">
        <v>663</v>
      </c>
      <c r="AD48" s="12" t="s">
        <v>194</v>
      </c>
      <c r="AE48" s="242"/>
    </row>
    <row r="49" spans="2:36" ht="17.25" customHeight="1">
      <c r="B49" s="241"/>
      <c r="D49" s="1" t="s">
        <v>699</v>
      </c>
      <c r="Z49" s="363"/>
      <c r="AA49" s="362"/>
      <c r="AB49" s="12"/>
      <c r="AC49" s="12"/>
      <c r="AE49" s="242"/>
    </row>
    <row r="50" spans="2:36" ht="18.75" customHeight="1">
      <c r="B50" s="241"/>
      <c r="W50" s="21"/>
      <c r="Z50" s="242"/>
      <c r="AA50" s="362"/>
      <c r="AB50" s="12"/>
      <c r="AC50" s="12"/>
      <c r="AE50" s="242"/>
      <c r="AJ50" s="336"/>
    </row>
    <row r="51" spans="2:36" ht="13.5" customHeight="1">
      <c r="B51" s="241"/>
      <c r="C51" s="434" t="s">
        <v>674</v>
      </c>
      <c r="D51" s="1" t="s">
        <v>700</v>
      </c>
      <c r="Z51" s="409"/>
      <c r="AA51" s="377"/>
      <c r="AB51" s="12" t="s">
        <v>194</v>
      </c>
      <c r="AC51" s="12" t="s">
        <v>663</v>
      </c>
      <c r="AD51" s="12" t="s">
        <v>194</v>
      </c>
      <c r="AE51" s="242"/>
    </row>
    <row r="52" spans="2:36">
      <c r="B52" s="241"/>
      <c r="D52" s="1" t="s">
        <v>701</v>
      </c>
      <c r="E52" s="2"/>
      <c r="F52" s="2"/>
      <c r="G52" s="2"/>
      <c r="H52" s="2"/>
      <c r="I52" s="2"/>
      <c r="J52" s="2"/>
      <c r="K52" s="2"/>
      <c r="L52" s="2"/>
      <c r="M52" s="2"/>
      <c r="N52" s="2"/>
      <c r="O52" s="336"/>
      <c r="P52" s="336"/>
      <c r="Q52" s="336"/>
      <c r="Z52" s="363"/>
      <c r="AA52" s="362"/>
      <c r="AB52" s="12"/>
      <c r="AC52" s="12"/>
      <c r="AE52" s="242"/>
    </row>
    <row r="53" spans="2:36">
      <c r="B53" s="241"/>
      <c r="D53" s="12"/>
      <c r="E53" s="1172"/>
      <c r="F53" s="1172"/>
      <c r="G53" s="1172"/>
      <c r="H53" s="1172"/>
      <c r="I53" s="1172"/>
      <c r="J53" s="1172"/>
      <c r="K53" s="1172"/>
      <c r="L53" s="1172"/>
      <c r="M53" s="1172"/>
      <c r="N53" s="1172"/>
      <c r="Q53" s="12"/>
      <c r="S53" s="21"/>
      <c r="T53" s="21"/>
      <c r="U53" s="21"/>
      <c r="V53" s="21"/>
      <c r="Z53" s="385"/>
      <c r="AA53" s="362"/>
      <c r="AB53" s="12"/>
      <c r="AC53" s="12"/>
      <c r="AE53" s="242"/>
    </row>
    <row r="54" spans="2:36">
      <c r="B54" s="241"/>
      <c r="C54" s="434" t="s">
        <v>694</v>
      </c>
      <c r="D54" s="1" t="s">
        <v>702</v>
      </c>
      <c r="Z54" s="409"/>
      <c r="AA54" s="377"/>
      <c r="AB54" s="12" t="s">
        <v>194</v>
      </c>
      <c r="AC54" s="12" t="s">
        <v>663</v>
      </c>
      <c r="AD54" s="12" t="s">
        <v>194</v>
      </c>
      <c r="AE54" s="242"/>
    </row>
    <row r="55" spans="2:36">
      <c r="B55" s="277"/>
      <c r="C55" s="438"/>
      <c r="D55" s="8" t="s">
        <v>703</v>
      </c>
      <c r="E55" s="8"/>
      <c r="F55" s="8"/>
      <c r="G55" s="8"/>
      <c r="H55" s="8"/>
      <c r="I55" s="8"/>
      <c r="J55" s="8"/>
      <c r="K55" s="8"/>
      <c r="L55" s="8"/>
      <c r="M55" s="8"/>
      <c r="N55" s="8"/>
      <c r="O55" s="8"/>
      <c r="P55" s="8"/>
      <c r="Q55" s="8"/>
      <c r="R55" s="8"/>
      <c r="S55" s="8"/>
      <c r="T55" s="8"/>
      <c r="U55" s="8"/>
      <c r="V55" s="8"/>
      <c r="W55" s="8"/>
      <c r="X55" s="8"/>
      <c r="Y55" s="8"/>
      <c r="Z55" s="279"/>
      <c r="AA55" s="386"/>
      <c r="AB55" s="387"/>
      <c r="AC55" s="387"/>
      <c r="AD55" s="8"/>
      <c r="AE55" s="279"/>
    </row>
    <row r="56" spans="2:36">
      <c r="B56" s="1" t="s">
        <v>704</v>
      </c>
    </row>
    <row r="57" spans="2:36">
      <c r="C57" s="1" t="s">
        <v>705</v>
      </c>
    </row>
    <row r="58" spans="2:36">
      <c r="B58" s="1" t="s">
        <v>706</v>
      </c>
    </row>
    <row r="59" spans="2:36">
      <c r="C59" s="1" t="s">
        <v>707</v>
      </c>
    </row>
    <row r="60" spans="2:36">
      <c r="C60" s="1" t="s">
        <v>708</v>
      </c>
    </row>
    <row r="61" spans="2:36">
      <c r="C61" s="1" t="s">
        <v>709</v>
      </c>
      <c r="K61" s="1" t="s">
        <v>710</v>
      </c>
    </row>
    <row r="62" spans="2:36">
      <c r="K62" s="1" t="s">
        <v>711</v>
      </c>
    </row>
    <row r="63" spans="2:36">
      <c r="K63" s="1" t="s">
        <v>712</v>
      </c>
    </row>
    <row r="64" spans="2:36">
      <c r="K64" s="1" t="s">
        <v>713</v>
      </c>
    </row>
    <row r="65" spans="2:11">
      <c r="K65" s="1" t="s">
        <v>714</v>
      </c>
    </row>
    <row r="66" spans="2:11">
      <c r="B66" s="1" t="s">
        <v>715</v>
      </c>
    </row>
    <row r="67" spans="2:11">
      <c r="C67" s="1" t="s">
        <v>716</v>
      </c>
    </row>
    <row r="68" spans="2:11">
      <c r="C68" s="1" t="s">
        <v>717</v>
      </c>
    </row>
    <row r="69" spans="2:11">
      <c r="C69" s="1" t="s">
        <v>718</v>
      </c>
    </row>
    <row r="81" spans="12:12">
      <c r="L81" s="502"/>
    </row>
    <row r="122" spans="3:7">
      <c r="C122" s="8"/>
      <c r="D122" s="8"/>
      <c r="E122" s="8"/>
      <c r="F122" s="8"/>
      <c r="G122" s="8"/>
    </row>
    <row r="123" spans="3:7">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xr:uid="{B42C87A6-EFFB-47F2-B762-FEC6B64FBD01}">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8D51B-44B2-408D-8FA2-48DEE28BA1C3}">
  <sheetPr>
    <tabColor rgb="FFFFFF00"/>
    <pageSetUpPr fitToPage="1"/>
  </sheetPr>
  <dimension ref="B1:AE123"/>
  <sheetViews>
    <sheetView view="pageBreakPreview" zoomScaleNormal="100" zoomScaleSheetLayoutView="100" workbookViewId="0"/>
  </sheetViews>
  <sheetFormatPr defaultColWidth="3.44140625" defaultRowHeight="13.2"/>
  <cols>
    <col min="1" max="1" width="1.21875" style="3" customWidth="1"/>
    <col min="2" max="2" width="3.109375" style="384" customWidth="1"/>
    <col min="3" max="31" width="3.109375" style="3" customWidth="1"/>
    <col min="32" max="32" width="1.21875" style="3" customWidth="1"/>
    <col min="33" max="16384" width="3.44140625" style="3"/>
  </cols>
  <sheetData>
    <row r="1" spans="2:31" s="1" customFormat="1"/>
    <row r="2" spans="2:31" s="1" customFormat="1">
      <c r="B2" s="1" t="s">
        <v>1001</v>
      </c>
    </row>
    <row r="3" spans="2:31" s="1" customFormat="1">
      <c r="V3" s="45" t="s">
        <v>313</v>
      </c>
      <c r="W3" s="899"/>
      <c r="X3" s="899"/>
      <c r="Y3" s="45" t="s">
        <v>34</v>
      </c>
      <c r="Z3" s="899"/>
      <c r="AA3" s="899"/>
      <c r="AB3" s="45" t="s">
        <v>261</v>
      </c>
      <c r="AC3" s="899"/>
      <c r="AD3" s="899"/>
      <c r="AE3" s="45" t="s">
        <v>376</v>
      </c>
    </row>
    <row r="4" spans="2:31" s="1" customFormat="1">
      <c r="AE4" s="45"/>
    </row>
    <row r="5" spans="2:31" s="1" customFormat="1">
      <c r="B5" s="899" t="s">
        <v>589</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row>
    <row r="6" spans="2:31" s="1" customFormat="1" ht="26.25" customHeight="1">
      <c r="B6" s="1166" t="s">
        <v>1002</v>
      </c>
      <c r="C6" s="1166"/>
      <c r="D6" s="1166"/>
      <c r="E6" s="1166"/>
      <c r="F6" s="1166"/>
      <c r="G6" s="1166"/>
      <c r="H6" s="1166"/>
      <c r="I6" s="1166"/>
      <c r="J6" s="1166"/>
      <c r="K6" s="1166"/>
      <c r="L6" s="1166"/>
      <c r="M6" s="1166"/>
      <c r="N6" s="1166"/>
      <c r="O6" s="1166"/>
      <c r="P6" s="1166"/>
      <c r="Q6" s="1166"/>
      <c r="R6" s="1166"/>
      <c r="S6" s="1166"/>
      <c r="T6" s="1166"/>
      <c r="U6" s="1166"/>
      <c r="V6" s="1166"/>
      <c r="W6" s="1166"/>
      <c r="X6" s="1166"/>
      <c r="Y6" s="1166"/>
      <c r="Z6" s="1166"/>
      <c r="AA6" s="1166"/>
      <c r="AB6" s="1166"/>
      <c r="AC6" s="1166"/>
      <c r="AD6" s="1166"/>
      <c r="AE6" s="1166"/>
    </row>
    <row r="7" spans="2:31" s="1" customFormat="1"/>
    <row r="8" spans="2:31" s="1" customFormat="1" ht="23.25" customHeight="1">
      <c r="B8" s="1173" t="s">
        <v>149</v>
      </c>
      <c r="C8" s="1173"/>
      <c r="D8" s="1173"/>
      <c r="E8" s="1173"/>
      <c r="F8" s="1162"/>
      <c r="G8" s="1174"/>
      <c r="H8" s="1175"/>
      <c r="I8" s="1175"/>
      <c r="J8" s="1175"/>
      <c r="K8" s="1175"/>
      <c r="L8" s="1175"/>
      <c r="M8" s="1175"/>
      <c r="N8" s="1175"/>
      <c r="O8" s="1175"/>
      <c r="P8" s="1175"/>
      <c r="Q8" s="1175"/>
      <c r="R8" s="1175"/>
      <c r="S8" s="1175"/>
      <c r="T8" s="1175"/>
      <c r="U8" s="1175"/>
      <c r="V8" s="1175"/>
      <c r="W8" s="1175"/>
      <c r="X8" s="1175"/>
      <c r="Y8" s="1175"/>
      <c r="Z8" s="1175"/>
      <c r="AA8" s="1175"/>
      <c r="AB8" s="1175"/>
      <c r="AC8" s="1175"/>
      <c r="AD8" s="1175"/>
      <c r="AE8" s="1176"/>
    </row>
    <row r="9" spans="2:31" ht="23.25" customHeight="1">
      <c r="B9" s="1162" t="s">
        <v>113</v>
      </c>
      <c r="C9" s="1163"/>
      <c r="D9" s="1163"/>
      <c r="E9" s="1163"/>
      <c r="F9" s="1164"/>
      <c r="G9" s="410" t="s">
        <v>194</v>
      </c>
      <c r="H9" s="364" t="s">
        <v>840</v>
      </c>
      <c r="I9" s="364"/>
      <c r="J9" s="364"/>
      <c r="K9" s="364"/>
      <c r="L9" s="398" t="s">
        <v>194</v>
      </c>
      <c r="M9" s="364" t="s">
        <v>841</v>
      </c>
      <c r="N9" s="364"/>
      <c r="O9" s="364"/>
      <c r="P9" s="364"/>
      <c r="Q9" s="398" t="s">
        <v>194</v>
      </c>
      <c r="R9" s="364" t="s">
        <v>842</v>
      </c>
      <c r="S9" s="444"/>
      <c r="T9" s="444"/>
      <c r="U9" s="444"/>
      <c r="V9" s="444"/>
      <c r="W9" s="444"/>
      <c r="X9" s="444"/>
      <c r="Y9" s="444"/>
      <c r="Z9" s="444"/>
      <c r="AA9" s="444"/>
      <c r="AB9" s="444"/>
      <c r="AC9" s="444"/>
      <c r="AD9" s="444"/>
      <c r="AE9" s="445"/>
    </row>
    <row r="10" spans="2:31" ht="23.25" customHeight="1">
      <c r="B10" s="1178" t="s">
        <v>590</v>
      </c>
      <c r="C10" s="1179"/>
      <c r="D10" s="1179"/>
      <c r="E10" s="1179"/>
      <c r="F10" s="1180"/>
      <c r="G10" s="403" t="s">
        <v>194</v>
      </c>
      <c r="H10" s="1" t="s">
        <v>1003</v>
      </c>
      <c r="I10" s="2"/>
      <c r="J10" s="2"/>
      <c r="K10" s="2"/>
      <c r="L10" s="2"/>
      <c r="M10" s="2"/>
      <c r="N10" s="2"/>
      <c r="O10" s="2"/>
      <c r="P10" s="2"/>
      <c r="Q10" s="2"/>
      <c r="R10" s="403" t="s">
        <v>194</v>
      </c>
      <c r="S10" s="448" t="s">
        <v>1004</v>
      </c>
      <c r="T10" s="448"/>
      <c r="U10" s="448"/>
      <c r="V10" s="403" t="s">
        <v>194</v>
      </c>
      <c r="W10" s="448" t="s">
        <v>1005</v>
      </c>
      <c r="X10" s="448"/>
      <c r="Y10" s="448"/>
      <c r="Z10" s="403" t="s">
        <v>194</v>
      </c>
      <c r="AA10" s="448" t="s">
        <v>1006</v>
      </c>
      <c r="AB10" s="448"/>
      <c r="AC10" s="448"/>
      <c r="AD10" s="448"/>
      <c r="AE10" s="449"/>
    </row>
    <row r="11" spans="2:31" ht="23.25" customHeight="1">
      <c r="B11" s="1181"/>
      <c r="C11" s="1182"/>
      <c r="D11" s="1182"/>
      <c r="E11" s="1182"/>
      <c r="F11" s="1183"/>
      <c r="G11" s="403" t="s">
        <v>194</v>
      </c>
      <c r="H11" s="1" t="s">
        <v>1007</v>
      </c>
      <c r="I11" s="2"/>
      <c r="J11" s="2"/>
      <c r="K11" s="2"/>
      <c r="L11" s="2"/>
      <c r="M11" s="2"/>
      <c r="N11" s="2"/>
      <c r="O11" s="2"/>
      <c r="P11" s="2"/>
      <c r="Q11" s="2"/>
      <c r="R11" s="403" t="s">
        <v>194</v>
      </c>
      <c r="S11" s="1" t="s">
        <v>1008</v>
      </c>
      <c r="T11" s="448"/>
      <c r="U11" s="448"/>
      <c r="V11" s="448"/>
      <c r="W11" s="448"/>
      <c r="X11" s="448"/>
      <c r="Y11" s="448"/>
      <c r="Z11" s="448"/>
      <c r="AA11" s="448"/>
      <c r="AB11" s="448"/>
      <c r="AC11" s="448"/>
      <c r="AD11" s="448"/>
      <c r="AE11" s="449"/>
    </row>
    <row r="12" spans="2:31" ht="23.25" customHeight="1">
      <c r="B12" s="1181"/>
      <c r="C12" s="1182"/>
      <c r="D12" s="1182"/>
      <c r="E12" s="1182"/>
      <c r="F12" s="1183"/>
      <c r="G12" s="403" t="s">
        <v>194</v>
      </c>
      <c r="H12" s="1" t="s">
        <v>1009</v>
      </c>
      <c r="I12" s="2"/>
      <c r="J12" s="2"/>
      <c r="K12" s="2"/>
      <c r="L12" s="2"/>
      <c r="M12" s="2"/>
      <c r="N12" s="2"/>
      <c r="O12" s="2"/>
      <c r="P12" s="2"/>
      <c r="Q12" s="2"/>
      <c r="R12" s="403" t="s">
        <v>194</v>
      </c>
      <c r="S12" s="1" t="s">
        <v>1010</v>
      </c>
      <c r="T12" s="448"/>
      <c r="U12" s="448"/>
      <c r="V12" s="448"/>
      <c r="W12" s="448"/>
      <c r="X12" s="448"/>
      <c r="Y12" s="448"/>
      <c r="Z12" s="448"/>
      <c r="AA12" s="448"/>
      <c r="AB12" s="448"/>
      <c r="AC12" s="448"/>
      <c r="AD12" s="448"/>
      <c r="AE12" s="449"/>
    </row>
    <row r="13" spans="2:31" ht="23.25" customHeight="1">
      <c r="B13" s="1184"/>
      <c r="C13" s="1185"/>
      <c r="D13" s="1185"/>
      <c r="E13" s="1185"/>
      <c r="F13" s="1186"/>
      <c r="G13" s="403" t="s">
        <v>194</v>
      </c>
      <c r="H13" s="1" t="s">
        <v>923</v>
      </c>
      <c r="I13" s="487"/>
      <c r="J13" s="2"/>
      <c r="K13" s="2"/>
      <c r="L13" s="2"/>
      <c r="M13" s="2"/>
      <c r="N13" s="2"/>
      <c r="O13" s="2"/>
      <c r="P13" s="2"/>
      <c r="Q13" s="2"/>
      <c r="R13" s="448"/>
      <c r="S13" s="1"/>
      <c r="T13" s="448"/>
      <c r="U13" s="448"/>
      <c r="V13" s="448"/>
      <c r="W13" s="448"/>
      <c r="X13" s="448"/>
      <c r="Y13" s="448"/>
      <c r="Z13" s="448"/>
      <c r="AA13" s="448"/>
      <c r="AB13" s="448"/>
      <c r="AC13" s="448"/>
      <c r="AD13" s="448"/>
      <c r="AE13" s="449"/>
    </row>
    <row r="14" spans="2:31" ht="23.25" customHeight="1">
      <c r="B14" s="1178" t="s">
        <v>591</v>
      </c>
      <c r="C14" s="1179"/>
      <c r="D14" s="1179"/>
      <c r="E14" s="1179"/>
      <c r="F14" s="1180"/>
      <c r="G14" s="423" t="s">
        <v>194</v>
      </c>
      <c r="H14" s="7" t="s">
        <v>1011</v>
      </c>
      <c r="I14" s="22"/>
      <c r="J14" s="22"/>
      <c r="K14" s="22"/>
      <c r="L14" s="22"/>
      <c r="M14" s="22"/>
      <c r="N14" s="22"/>
      <c r="O14" s="22"/>
      <c r="P14" s="22"/>
      <c r="Q14" s="22"/>
      <c r="R14" s="22"/>
      <c r="S14" s="424" t="s">
        <v>194</v>
      </c>
      <c r="T14" s="7" t="s">
        <v>1012</v>
      </c>
      <c r="U14" s="446"/>
      <c r="V14" s="446"/>
      <c r="W14" s="446"/>
      <c r="X14" s="446"/>
      <c r="Y14" s="446"/>
      <c r="Z14" s="446"/>
      <c r="AA14" s="446"/>
      <c r="AB14" s="446"/>
      <c r="AC14" s="446"/>
      <c r="AD14" s="446"/>
      <c r="AE14" s="447"/>
    </row>
    <row r="15" spans="2:31" ht="23.25" customHeight="1">
      <c r="B15" s="1184"/>
      <c r="C15" s="1185"/>
      <c r="D15" s="1185"/>
      <c r="E15" s="1185"/>
      <c r="F15" s="1186"/>
      <c r="G15" s="415" t="s">
        <v>194</v>
      </c>
      <c r="H15" s="8" t="s">
        <v>1013</v>
      </c>
      <c r="I15" s="297"/>
      <c r="J15" s="297"/>
      <c r="K15" s="297"/>
      <c r="L15" s="297"/>
      <c r="M15" s="297"/>
      <c r="N15" s="297"/>
      <c r="O15" s="297"/>
      <c r="P15" s="297"/>
      <c r="Q15" s="297"/>
      <c r="R15" s="297"/>
      <c r="S15" s="450"/>
      <c r="T15" s="450"/>
      <c r="U15" s="450"/>
      <c r="V15" s="450"/>
      <c r="W15" s="450"/>
      <c r="X15" s="450"/>
      <c r="Y15" s="450"/>
      <c r="Z15" s="450"/>
      <c r="AA15" s="450"/>
      <c r="AB15" s="450"/>
      <c r="AC15" s="450"/>
      <c r="AD15" s="450"/>
      <c r="AE15" s="451"/>
    </row>
    <row r="16" spans="2:31" s="1" customFormat="1"/>
    <row r="17" spans="2:31" s="1" customFormat="1">
      <c r="B17" s="1" t="s">
        <v>592</v>
      </c>
    </row>
    <row r="18" spans="2:31" s="1" customFormat="1">
      <c r="B18" s="1" t="s">
        <v>593</v>
      </c>
      <c r="AD18" s="2"/>
      <c r="AE18" s="2"/>
    </row>
    <row r="19" spans="2:31" s="1" customFormat="1" ht="6" customHeight="1"/>
    <row r="20" spans="2:31" s="1" customFormat="1" ht="6" customHeight="1">
      <c r="B20" s="908" t="s">
        <v>594</v>
      </c>
      <c r="C20" s="909"/>
      <c r="D20" s="909"/>
      <c r="E20" s="909"/>
      <c r="F20" s="910"/>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187"/>
      <c r="C21" s="1166"/>
      <c r="D21" s="1166"/>
      <c r="E21" s="1166"/>
      <c r="F21" s="1188"/>
      <c r="G21" s="241"/>
      <c r="H21" s="1" t="s">
        <v>595</v>
      </c>
      <c r="AA21" s="241"/>
      <c r="AB21" s="400" t="s">
        <v>662</v>
      </c>
      <c r="AC21" s="400" t="s">
        <v>663</v>
      </c>
      <c r="AD21" s="400" t="s">
        <v>664</v>
      </c>
      <c r="AE21" s="488"/>
    </row>
    <row r="22" spans="2:31" s="1" customFormat="1" ht="15.75" customHeight="1">
      <c r="B22" s="1187"/>
      <c r="C22" s="1166"/>
      <c r="D22" s="1166"/>
      <c r="E22" s="1166"/>
      <c r="F22" s="1188"/>
      <c r="G22" s="241"/>
      <c r="I22" s="366" t="s">
        <v>142</v>
      </c>
      <c r="J22" s="1192" t="s">
        <v>596</v>
      </c>
      <c r="K22" s="1177"/>
      <c r="L22" s="1177"/>
      <c r="M22" s="1177"/>
      <c r="N22" s="1177"/>
      <c r="O22" s="1177"/>
      <c r="P22" s="1177"/>
      <c r="Q22" s="1177"/>
      <c r="R22" s="1177"/>
      <c r="S22" s="1177"/>
      <c r="T22" s="1177"/>
      <c r="U22" s="1177"/>
      <c r="V22" s="904"/>
      <c r="W22" s="905"/>
      <c r="X22" s="11" t="s">
        <v>97</v>
      </c>
      <c r="AA22" s="241"/>
      <c r="AB22" s="367"/>
      <c r="AC22" s="12"/>
      <c r="AD22" s="367"/>
      <c r="AE22" s="385"/>
    </row>
    <row r="23" spans="2:31" s="1" customFormat="1" ht="15.75" customHeight="1">
      <c r="B23" s="1187"/>
      <c r="C23" s="1166"/>
      <c r="D23" s="1166"/>
      <c r="E23" s="1166"/>
      <c r="F23" s="1188"/>
      <c r="G23" s="241"/>
      <c r="I23" s="489" t="s">
        <v>140</v>
      </c>
      <c r="J23" s="490" t="s">
        <v>597</v>
      </c>
      <c r="K23" s="8"/>
      <c r="L23" s="8"/>
      <c r="M23" s="8"/>
      <c r="N23" s="8"/>
      <c r="O23" s="8"/>
      <c r="P23" s="8"/>
      <c r="Q23" s="8"/>
      <c r="R23" s="8"/>
      <c r="S23" s="8"/>
      <c r="T23" s="8"/>
      <c r="U23" s="8"/>
      <c r="V23" s="1158"/>
      <c r="W23" s="1159"/>
      <c r="X23" s="279" t="s">
        <v>97</v>
      </c>
      <c r="Z23" s="479"/>
      <c r="AA23" s="338"/>
      <c r="AB23" s="403" t="s">
        <v>194</v>
      </c>
      <c r="AC23" s="403" t="s">
        <v>663</v>
      </c>
      <c r="AD23" s="403" t="s">
        <v>194</v>
      </c>
      <c r="AE23" s="385"/>
    </row>
    <row r="24" spans="2:31" s="1" customFormat="1">
      <c r="B24" s="1187"/>
      <c r="C24" s="1166"/>
      <c r="D24" s="1166"/>
      <c r="E24" s="1166"/>
      <c r="F24" s="1188"/>
      <c r="G24" s="241"/>
      <c r="H24" s="1" t="s">
        <v>598</v>
      </c>
      <c r="AA24" s="241"/>
      <c r="AD24" s="2"/>
      <c r="AE24" s="385"/>
    </row>
    <row r="25" spans="2:31" s="1" customFormat="1">
      <c r="B25" s="1187"/>
      <c r="C25" s="1166"/>
      <c r="D25" s="1166"/>
      <c r="E25" s="1166"/>
      <c r="F25" s="1188"/>
      <c r="G25" s="241"/>
      <c r="H25" s="1" t="s">
        <v>599</v>
      </c>
      <c r="U25" s="479"/>
      <c r="V25" s="479"/>
      <c r="AA25" s="241"/>
      <c r="AD25" s="2"/>
      <c r="AE25" s="385"/>
    </row>
    <row r="26" spans="2:31" s="1" customFormat="1" ht="29.25" customHeight="1">
      <c r="B26" s="1187"/>
      <c r="C26" s="1166"/>
      <c r="D26" s="1166"/>
      <c r="E26" s="1166"/>
      <c r="F26" s="1188"/>
      <c r="G26" s="241"/>
      <c r="I26" s="366" t="s">
        <v>148</v>
      </c>
      <c r="J26" s="1177" t="s">
        <v>600</v>
      </c>
      <c r="K26" s="1177"/>
      <c r="L26" s="1177"/>
      <c r="M26" s="1177"/>
      <c r="N26" s="1177"/>
      <c r="O26" s="1177"/>
      <c r="P26" s="1177"/>
      <c r="Q26" s="1177"/>
      <c r="R26" s="1177"/>
      <c r="S26" s="1177"/>
      <c r="T26" s="1177"/>
      <c r="U26" s="1177"/>
      <c r="V26" s="904"/>
      <c r="W26" s="905"/>
      <c r="X26" s="11" t="s">
        <v>97</v>
      </c>
      <c r="Z26" s="479"/>
      <c r="AA26" s="338"/>
      <c r="AB26" s="403" t="s">
        <v>194</v>
      </c>
      <c r="AC26" s="403" t="s">
        <v>663</v>
      </c>
      <c r="AD26" s="403" t="s">
        <v>194</v>
      </c>
      <c r="AE26" s="385"/>
    </row>
    <row r="27" spans="2:31" s="1" customFormat="1" ht="6" customHeight="1">
      <c r="B27" s="1189"/>
      <c r="C27" s="1190"/>
      <c r="D27" s="1190"/>
      <c r="E27" s="1190"/>
      <c r="F27" s="1191"/>
      <c r="G27" s="277"/>
      <c r="H27" s="8"/>
      <c r="I27" s="8"/>
      <c r="J27" s="8"/>
      <c r="K27" s="8"/>
      <c r="L27" s="8"/>
      <c r="M27" s="8"/>
      <c r="N27" s="8"/>
      <c r="O27" s="8"/>
      <c r="P27" s="8"/>
      <c r="Q27" s="8"/>
      <c r="R27" s="8"/>
      <c r="S27" s="8"/>
      <c r="T27" s="8"/>
      <c r="U27" s="491"/>
      <c r="V27" s="491"/>
      <c r="W27" s="8"/>
      <c r="X27" s="8"/>
      <c r="Y27" s="8"/>
      <c r="Z27" s="8"/>
      <c r="AA27" s="277"/>
      <c r="AB27" s="8"/>
      <c r="AC27" s="8"/>
      <c r="AD27" s="297"/>
      <c r="AE27" s="343"/>
    </row>
    <row r="28" spans="2:31" s="1" customFormat="1" ht="6" customHeight="1">
      <c r="B28" s="349"/>
      <c r="C28" s="350"/>
      <c r="D28" s="350"/>
      <c r="E28" s="350"/>
      <c r="F28" s="353"/>
      <c r="G28" s="6"/>
      <c r="H28" s="7"/>
      <c r="I28" s="7"/>
      <c r="J28" s="7"/>
      <c r="K28" s="7"/>
      <c r="L28" s="7"/>
      <c r="M28" s="7"/>
      <c r="N28" s="7"/>
      <c r="O28" s="7"/>
      <c r="P28" s="7"/>
      <c r="Q28" s="7"/>
      <c r="R28" s="7"/>
      <c r="S28" s="7"/>
      <c r="T28" s="7"/>
      <c r="U28" s="492"/>
      <c r="V28" s="492"/>
      <c r="W28" s="7"/>
      <c r="X28" s="7"/>
      <c r="Y28" s="7"/>
      <c r="Z28" s="7"/>
      <c r="AA28" s="7"/>
      <c r="AB28" s="7"/>
      <c r="AC28" s="7"/>
      <c r="AD28" s="22"/>
      <c r="AE28" s="23"/>
    </row>
    <row r="29" spans="2:31" s="1" customFormat="1">
      <c r="B29" s="1187" t="s">
        <v>601</v>
      </c>
      <c r="C29" s="1166"/>
      <c r="D29" s="1166"/>
      <c r="E29" s="1166"/>
      <c r="F29" s="1188"/>
      <c r="G29" s="493" t="s">
        <v>1014</v>
      </c>
      <c r="I29" s="494"/>
      <c r="J29" s="494"/>
      <c r="K29" s="494"/>
      <c r="L29" s="494"/>
      <c r="M29" s="494"/>
      <c r="N29" s="494"/>
      <c r="O29" s="494"/>
      <c r="P29" s="494"/>
      <c r="Q29" s="494"/>
      <c r="R29" s="494"/>
      <c r="S29" s="494"/>
      <c r="T29" s="494"/>
      <c r="U29" s="494"/>
      <c r="V29" s="494"/>
      <c r="W29" s="494"/>
      <c r="X29" s="494"/>
      <c r="Y29" s="494"/>
      <c r="Z29" s="494"/>
      <c r="AA29" s="494"/>
      <c r="AB29" s="494"/>
      <c r="AC29" s="494"/>
      <c r="AD29" s="2"/>
      <c r="AE29" s="385"/>
    </row>
    <row r="30" spans="2:31" s="1" customFormat="1" ht="54" customHeight="1">
      <c r="B30" s="1187"/>
      <c r="C30" s="1166"/>
      <c r="D30" s="1166"/>
      <c r="E30" s="1166"/>
      <c r="F30" s="1188"/>
      <c r="G30" s="1193"/>
      <c r="H30" s="1194"/>
      <c r="I30" s="1194"/>
      <c r="J30" s="1194"/>
      <c r="K30" s="1194"/>
      <c r="L30" s="1194"/>
      <c r="M30" s="1194"/>
      <c r="N30" s="1194"/>
      <c r="O30" s="1194"/>
      <c r="P30" s="1194"/>
      <c r="Q30" s="1194"/>
      <c r="R30" s="1194"/>
      <c r="S30" s="1194"/>
      <c r="T30" s="1194"/>
      <c r="U30" s="1194"/>
      <c r="V30" s="1194"/>
      <c r="W30" s="1194"/>
      <c r="X30" s="1194"/>
      <c r="Y30" s="1194"/>
      <c r="Z30" s="1194"/>
      <c r="AA30" s="1194"/>
      <c r="AB30" s="1194"/>
      <c r="AC30" s="1194"/>
      <c r="AD30" s="1194"/>
      <c r="AE30" s="1195"/>
    </row>
    <row r="31" spans="2:31" s="1" customFormat="1" ht="6" customHeight="1">
      <c r="B31" s="495"/>
      <c r="C31" s="461"/>
      <c r="D31" s="461"/>
      <c r="E31" s="461"/>
      <c r="F31" s="496"/>
      <c r="G31" s="277"/>
      <c r="H31" s="8"/>
      <c r="I31" s="8"/>
      <c r="J31" s="8"/>
      <c r="K31" s="8"/>
      <c r="L31" s="8"/>
      <c r="M31" s="8"/>
      <c r="N31" s="8"/>
      <c r="O31" s="8"/>
      <c r="P31" s="8"/>
      <c r="Q31" s="8"/>
      <c r="R31" s="8"/>
      <c r="S31" s="8"/>
      <c r="T31" s="8"/>
      <c r="U31" s="491"/>
      <c r="V31" s="491"/>
      <c r="W31" s="8"/>
      <c r="X31" s="8"/>
      <c r="Y31" s="8"/>
      <c r="Z31" s="8"/>
      <c r="AA31" s="8"/>
      <c r="AB31" s="8"/>
      <c r="AC31" s="8"/>
      <c r="AD31" s="297"/>
      <c r="AE31" s="343"/>
    </row>
    <row r="32" spans="2:31" s="1" customFormat="1" ht="9.75" customHeight="1">
      <c r="B32" s="369"/>
      <c r="C32" s="369"/>
      <c r="D32" s="369"/>
      <c r="E32" s="369"/>
      <c r="F32" s="369"/>
      <c r="U32" s="479"/>
      <c r="V32" s="479"/>
    </row>
    <row r="33" spans="2:31" s="1" customFormat="1">
      <c r="B33" s="1" t="s">
        <v>602</v>
      </c>
      <c r="C33" s="369"/>
      <c r="D33" s="369"/>
      <c r="E33" s="369"/>
      <c r="F33" s="369"/>
      <c r="U33" s="479"/>
      <c r="V33" s="479"/>
    </row>
    <row r="34" spans="2:31" s="1" customFormat="1" ht="6.75" customHeight="1">
      <c r="B34" s="369"/>
      <c r="C34" s="369"/>
      <c r="D34" s="369"/>
      <c r="E34" s="369"/>
      <c r="F34" s="369"/>
      <c r="U34" s="479"/>
      <c r="V34" s="479"/>
    </row>
    <row r="35" spans="2:31" s="1" customFormat="1" ht="4.5" customHeight="1">
      <c r="B35" s="908" t="s">
        <v>594</v>
      </c>
      <c r="C35" s="909"/>
      <c r="D35" s="909"/>
      <c r="E35" s="909"/>
      <c r="F35" s="910"/>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187"/>
      <c r="C36" s="1166"/>
      <c r="D36" s="1166"/>
      <c r="E36" s="1166"/>
      <c r="F36" s="1188"/>
      <c r="H36" s="1" t="s">
        <v>603</v>
      </c>
      <c r="AA36" s="241"/>
      <c r="AB36" s="400" t="s">
        <v>662</v>
      </c>
      <c r="AC36" s="400" t="s">
        <v>663</v>
      </c>
      <c r="AD36" s="400" t="s">
        <v>664</v>
      </c>
      <c r="AE36" s="488"/>
    </row>
    <row r="37" spans="2:31" s="1" customFormat="1" ht="15.75" customHeight="1">
      <c r="B37" s="1187"/>
      <c r="C37" s="1166"/>
      <c r="D37" s="1166"/>
      <c r="E37" s="1166"/>
      <c r="F37" s="1188"/>
      <c r="I37" s="497" t="s">
        <v>142</v>
      </c>
      <c r="J37" s="1192" t="s">
        <v>596</v>
      </c>
      <c r="K37" s="1177"/>
      <c r="L37" s="1177"/>
      <c r="M37" s="1177"/>
      <c r="N37" s="1177"/>
      <c r="O37" s="1177"/>
      <c r="P37" s="1177"/>
      <c r="Q37" s="1177"/>
      <c r="R37" s="1177"/>
      <c r="S37" s="1177"/>
      <c r="T37" s="1177"/>
      <c r="U37" s="1177"/>
      <c r="V37" s="904"/>
      <c r="W37" s="905"/>
      <c r="X37" s="11" t="s">
        <v>97</v>
      </c>
      <c r="AA37" s="241"/>
      <c r="AB37" s="367"/>
      <c r="AC37" s="12"/>
      <c r="AD37" s="367"/>
      <c r="AE37" s="385"/>
    </row>
    <row r="38" spans="2:31" s="1" customFormat="1" ht="15.75" customHeight="1">
      <c r="B38" s="1189"/>
      <c r="C38" s="1190"/>
      <c r="D38" s="1190"/>
      <c r="E38" s="1190"/>
      <c r="F38" s="1191"/>
      <c r="I38" s="366" t="s">
        <v>140</v>
      </c>
      <c r="J38" s="490" t="s">
        <v>597</v>
      </c>
      <c r="K38" s="8"/>
      <c r="L38" s="8"/>
      <c r="M38" s="8"/>
      <c r="N38" s="8"/>
      <c r="O38" s="8"/>
      <c r="P38" s="8"/>
      <c r="Q38" s="8"/>
      <c r="R38" s="8"/>
      <c r="S38" s="8"/>
      <c r="T38" s="8"/>
      <c r="U38" s="8"/>
      <c r="V38" s="1158"/>
      <c r="W38" s="1159"/>
      <c r="X38" s="8" t="s">
        <v>97</v>
      </c>
      <c r="Y38" s="241"/>
      <c r="Z38" s="479"/>
      <c r="AA38" s="338"/>
      <c r="AB38" s="403" t="s">
        <v>194</v>
      </c>
      <c r="AC38" s="403" t="s">
        <v>663</v>
      </c>
      <c r="AD38" s="403" t="s">
        <v>194</v>
      </c>
      <c r="AE38" s="385"/>
    </row>
    <row r="39" spans="2:31" s="1" customFormat="1" ht="6" customHeight="1">
      <c r="B39" s="1189"/>
      <c r="C39" s="902"/>
      <c r="D39" s="1190"/>
      <c r="E39" s="1190"/>
      <c r="F39" s="1191"/>
      <c r="G39" s="8"/>
      <c r="H39" s="8"/>
      <c r="I39" s="8"/>
      <c r="J39" s="8"/>
      <c r="K39" s="8"/>
      <c r="L39" s="8"/>
      <c r="M39" s="8"/>
      <c r="N39" s="8"/>
      <c r="O39" s="8"/>
      <c r="P39" s="8"/>
      <c r="Q39" s="8"/>
      <c r="R39" s="8"/>
      <c r="S39" s="8"/>
      <c r="T39" s="8"/>
      <c r="U39" s="491"/>
      <c r="V39" s="498"/>
      <c r="W39" s="387"/>
      <c r="X39" s="8"/>
      <c r="Y39" s="8"/>
      <c r="Z39" s="8"/>
      <c r="AA39" s="277"/>
      <c r="AB39" s="8"/>
      <c r="AC39" s="8"/>
      <c r="AD39" s="297"/>
      <c r="AE39" s="343"/>
    </row>
    <row r="40" spans="2:31" s="1" customFormat="1" ht="9.75" customHeight="1">
      <c r="B40" s="369"/>
      <c r="C40" s="369"/>
      <c r="D40" s="369"/>
      <c r="E40" s="369"/>
      <c r="F40" s="369"/>
      <c r="U40" s="479"/>
      <c r="V40" s="499"/>
      <c r="W40" s="12"/>
    </row>
    <row r="41" spans="2:31" s="1" customFormat="1" ht="13.5" customHeight="1">
      <c r="B41" s="1" t="s">
        <v>604</v>
      </c>
      <c r="C41" s="369"/>
      <c r="D41" s="369"/>
      <c r="E41" s="369"/>
      <c r="F41" s="369"/>
      <c r="U41" s="479"/>
      <c r="V41" s="499"/>
      <c r="W41" s="12"/>
    </row>
    <row r="42" spans="2:31" s="1" customFormat="1">
      <c r="B42" s="500" t="s">
        <v>605</v>
      </c>
      <c r="C42" s="369"/>
      <c r="D42" s="369"/>
      <c r="E42" s="369"/>
      <c r="F42" s="369"/>
      <c r="U42" s="479"/>
      <c r="V42" s="499"/>
      <c r="W42" s="12"/>
    </row>
    <row r="43" spans="2:31" s="1" customFormat="1" ht="4.5" customHeight="1">
      <c r="B43" s="908" t="s">
        <v>594</v>
      </c>
      <c r="C43" s="909"/>
      <c r="D43" s="909"/>
      <c r="E43" s="909"/>
      <c r="F43" s="910"/>
      <c r="G43" s="6"/>
      <c r="H43" s="7"/>
      <c r="I43" s="7"/>
      <c r="J43" s="7"/>
      <c r="K43" s="7"/>
      <c r="L43" s="7"/>
      <c r="M43" s="7"/>
      <c r="N43" s="7"/>
      <c r="O43" s="7"/>
      <c r="P43" s="7"/>
      <c r="Q43" s="7"/>
      <c r="R43" s="7"/>
      <c r="S43" s="7"/>
      <c r="T43" s="7"/>
      <c r="U43" s="7"/>
      <c r="V43" s="361"/>
      <c r="W43" s="361"/>
      <c r="X43" s="7"/>
      <c r="Y43" s="7"/>
      <c r="Z43" s="7"/>
      <c r="AA43" s="6"/>
      <c r="AB43" s="7"/>
      <c r="AC43" s="7"/>
      <c r="AD43" s="22"/>
      <c r="AE43" s="23"/>
    </row>
    <row r="44" spans="2:31" s="1" customFormat="1" ht="13.5" customHeight="1">
      <c r="B44" s="1187"/>
      <c r="C44" s="1166"/>
      <c r="D44" s="1166"/>
      <c r="E44" s="1166"/>
      <c r="F44" s="1188"/>
      <c r="G44" s="241"/>
      <c r="H44" s="1" t="s">
        <v>606</v>
      </c>
      <c r="V44" s="12"/>
      <c r="W44" s="12"/>
      <c r="AA44" s="241"/>
      <c r="AB44" s="400" t="s">
        <v>662</v>
      </c>
      <c r="AC44" s="400" t="s">
        <v>663</v>
      </c>
      <c r="AD44" s="400" t="s">
        <v>664</v>
      </c>
      <c r="AE44" s="488"/>
    </row>
    <row r="45" spans="2:31" s="1" customFormat="1" ht="15.75" customHeight="1">
      <c r="B45" s="1187"/>
      <c r="C45" s="1166"/>
      <c r="D45" s="1166"/>
      <c r="E45" s="1166"/>
      <c r="F45" s="1188"/>
      <c r="G45" s="241"/>
      <c r="I45" s="366" t="s">
        <v>142</v>
      </c>
      <c r="J45" s="1192" t="s">
        <v>596</v>
      </c>
      <c r="K45" s="1177"/>
      <c r="L45" s="1177"/>
      <c r="M45" s="1177"/>
      <c r="N45" s="1177"/>
      <c r="O45" s="1177"/>
      <c r="P45" s="1177"/>
      <c r="Q45" s="1177"/>
      <c r="R45" s="1177"/>
      <c r="S45" s="1177"/>
      <c r="T45" s="1177"/>
      <c r="U45" s="1177"/>
      <c r="V45" s="904"/>
      <c r="W45" s="905"/>
      <c r="X45" s="11" t="s">
        <v>97</v>
      </c>
      <c r="AA45" s="241"/>
      <c r="AB45" s="367"/>
      <c r="AC45" s="12"/>
      <c r="AD45" s="367"/>
      <c r="AE45" s="385"/>
    </row>
    <row r="46" spans="2:31" s="1" customFormat="1" ht="15.75" customHeight="1">
      <c r="B46" s="1187"/>
      <c r="C46" s="1166"/>
      <c r="D46" s="1166"/>
      <c r="E46" s="1166"/>
      <c r="F46" s="1188"/>
      <c r="G46" s="241"/>
      <c r="I46" s="489" t="s">
        <v>140</v>
      </c>
      <c r="J46" s="490" t="s">
        <v>597</v>
      </c>
      <c r="K46" s="8"/>
      <c r="L46" s="8"/>
      <c r="M46" s="8"/>
      <c r="N46" s="8"/>
      <c r="O46" s="8"/>
      <c r="P46" s="8"/>
      <c r="Q46" s="8"/>
      <c r="R46" s="8"/>
      <c r="S46" s="8"/>
      <c r="T46" s="8"/>
      <c r="U46" s="8"/>
      <c r="V46" s="1158"/>
      <c r="W46" s="1159"/>
      <c r="X46" s="279" t="s">
        <v>97</v>
      </c>
      <c r="Z46" s="479"/>
      <c r="AA46" s="338"/>
      <c r="AB46" s="403" t="s">
        <v>194</v>
      </c>
      <c r="AC46" s="403" t="s">
        <v>663</v>
      </c>
      <c r="AD46" s="403" t="s">
        <v>194</v>
      </c>
      <c r="AE46" s="385"/>
    </row>
    <row r="47" spans="2:31" s="1" customFormat="1" ht="6" customHeight="1">
      <c r="B47" s="1189"/>
      <c r="C47" s="1190"/>
      <c r="D47" s="1190"/>
      <c r="E47" s="1190"/>
      <c r="F47" s="1191"/>
      <c r="G47" s="277"/>
      <c r="H47" s="8"/>
      <c r="I47" s="8"/>
      <c r="J47" s="8"/>
      <c r="K47" s="8"/>
      <c r="L47" s="8"/>
      <c r="M47" s="8"/>
      <c r="N47" s="8"/>
      <c r="O47" s="8"/>
      <c r="P47" s="8"/>
      <c r="Q47" s="8"/>
      <c r="R47" s="8"/>
      <c r="S47" s="8"/>
      <c r="T47" s="8"/>
      <c r="U47" s="491"/>
      <c r="V47" s="498"/>
      <c r="W47" s="387"/>
      <c r="X47" s="8"/>
      <c r="Y47" s="8"/>
      <c r="Z47" s="8"/>
      <c r="AA47" s="277"/>
      <c r="AB47" s="8"/>
      <c r="AC47" s="8"/>
      <c r="AD47" s="297"/>
      <c r="AE47" s="343"/>
    </row>
    <row r="48" spans="2:31" s="1" customFormat="1" ht="4.5" customHeight="1">
      <c r="B48" s="908" t="s">
        <v>607</v>
      </c>
      <c r="C48" s="909"/>
      <c r="D48" s="909"/>
      <c r="E48" s="909"/>
      <c r="F48" s="910"/>
      <c r="G48" s="6"/>
      <c r="H48" s="7"/>
      <c r="I48" s="7"/>
      <c r="J48" s="7"/>
      <c r="K48" s="7"/>
      <c r="L48" s="7"/>
      <c r="M48" s="7"/>
      <c r="N48" s="7"/>
      <c r="O48" s="7"/>
      <c r="P48" s="7"/>
      <c r="Q48" s="7"/>
      <c r="R48" s="7"/>
      <c r="S48" s="7"/>
      <c r="T48" s="7"/>
      <c r="U48" s="7"/>
      <c r="V48" s="361"/>
      <c r="W48" s="361"/>
      <c r="X48" s="7"/>
      <c r="Y48" s="7"/>
      <c r="Z48" s="7"/>
      <c r="AA48" s="6"/>
      <c r="AB48" s="7"/>
      <c r="AC48" s="7"/>
      <c r="AD48" s="22"/>
      <c r="AE48" s="23"/>
    </row>
    <row r="49" spans="2:31" s="1" customFormat="1" ht="13.5" customHeight="1">
      <c r="B49" s="1187"/>
      <c r="C49" s="1166"/>
      <c r="D49" s="1166"/>
      <c r="E49" s="1166"/>
      <c r="F49" s="1188"/>
      <c r="G49" s="241"/>
      <c r="H49" s="1" t="s">
        <v>608</v>
      </c>
      <c r="V49" s="12"/>
      <c r="W49" s="12"/>
      <c r="AA49" s="241"/>
      <c r="AB49" s="400" t="s">
        <v>662</v>
      </c>
      <c r="AC49" s="400" t="s">
        <v>663</v>
      </c>
      <c r="AD49" s="400" t="s">
        <v>664</v>
      </c>
      <c r="AE49" s="488"/>
    </row>
    <row r="50" spans="2:31" s="1" customFormat="1">
      <c r="B50" s="1187"/>
      <c r="C50" s="1166"/>
      <c r="D50" s="1166"/>
      <c r="E50" s="1166"/>
      <c r="F50" s="1188"/>
      <c r="G50" s="241"/>
      <c r="I50" s="366" t="s">
        <v>142</v>
      </c>
      <c r="J50" s="1196" t="s">
        <v>609</v>
      </c>
      <c r="K50" s="1197"/>
      <c r="L50" s="1197"/>
      <c r="M50" s="1197"/>
      <c r="N50" s="1197"/>
      <c r="O50" s="1197"/>
      <c r="P50" s="1197"/>
      <c r="Q50" s="1197"/>
      <c r="R50" s="1197"/>
      <c r="S50" s="1197"/>
      <c r="T50" s="1197"/>
      <c r="U50" s="1197"/>
      <c r="V50" s="1161"/>
      <c r="W50" s="904"/>
      <c r="X50" s="11" t="s">
        <v>97</v>
      </c>
      <c r="AA50" s="241"/>
      <c r="AB50" s="367"/>
      <c r="AC50" s="12"/>
      <c r="AD50" s="367"/>
      <c r="AE50" s="385"/>
    </row>
    <row r="51" spans="2:31" s="1" customFormat="1" ht="14.25" customHeight="1">
      <c r="B51" s="1187"/>
      <c r="C51" s="1166"/>
      <c r="D51" s="1166"/>
      <c r="E51" s="1166"/>
      <c r="F51" s="1188"/>
      <c r="G51" s="241"/>
      <c r="I51" s="489" t="s">
        <v>140</v>
      </c>
      <c r="J51" s="1192" t="s">
        <v>610</v>
      </c>
      <c r="K51" s="1177"/>
      <c r="L51" s="1177"/>
      <c r="M51" s="1177"/>
      <c r="N51" s="1177"/>
      <c r="O51" s="1177"/>
      <c r="P51" s="1177"/>
      <c r="Q51" s="1177"/>
      <c r="R51" s="1177"/>
      <c r="S51" s="1177"/>
      <c r="T51" s="1177"/>
      <c r="U51" s="1177"/>
      <c r="V51" s="1161"/>
      <c r="W51" s="904"/>
      <c r="X51" s="279" t="s">
        <v>97</v>
      </c>
      <c r="Z51" s="479"/>
      <c r="AA51" s="338"/>
      <c r="AB51" s="403" t="s">
        <v>194</v>
      </c>
      <c r="AC51" s="403" t="s">
        <v>663</v>
      </c>
      <c r="AD51" s="403" t="s">
        <v>194</v>
      </c>
      <c r="AE51" s="385"/>
    </row>
    <row r="52" spans="2:31" s="1" customFormat="1" ht="6" customHeight="1">
      <c r="B52" s="1189"/>
      <c r="C52" s="1190"/>
      <c r="D52" s="1190"/>
      <c r="E52" s="1190"/>
      <c r="F52" s="1191"/>
      <c r="G52" s="277"/>
      <c r="H52" s="8"/>
      <c r="I52" s="8"/>
      <c r="J52" s="8"/>
      <c r="K52" s="8"/>
      <c r="L52" s="8"/>
      <c r="M52" s="8"/>
      <c r="N52" s="8"/>
      <c r="O52" s="8"/>
      <c r="P52" s="8"/>
      <c r="Q52" s="8"/>
      <c r="R52" s="8"/>
      <c r="S52" s="8"/>
      <c r="T52" s="8"/>
      <c r="U52" s="491"/>
      <c r="V52" s="498"/>
      <c r="W52" s="387"/>
      <c r="X52" s="8"/>
      <c r="Y52" s="8"/>
      <c r="Z52" s="8"/>
      <c r="AA52" s="277"/>
      <c r="AB52" s="8"/>
      <c r="AC52" s="8"/>
      <c r="AD52" s="297"/>
      <c r="AE52" s="343"/>
    </row>
    <row r="53" spans="2:31" s="1" customFormat="1" ht="4.5" customHeight="1">
      <c r="B53" s="908" t="s">
        <v>611</v>
      </c>
      <c r="C53" s="909"/>
      <c r="D53" s="909"/>
      <c r="E53" s="909"/>
      <c r="F53" s="910"/>
      <c r="G53" s="6"/>
      <c r="H53" s="7"/>
      <c r="I53" s="7"/>
      <c r="J53" s="7"/>
      <c r="K53" s="7"/>
      <c r="L53" s="7"/>
      <c r="M53" s="7"/>
      <c r="N53" s="7"/>
      <c r="O53" s="7"/>
      <c r="P53" s="7"/>
      <c r="Q53" s="7"/>
      <c r="R53" s="7"/>
      <c r="S53" s="7"/>
      <c r="T53" s="7"/>
      <c r="U53" s="7"/>
      <c r="V53" s="361"/>
      <c r="W53" s="361"/>
      <c r="X53" s="7"/>
      <c r="Y53" s="7"/>
      <c r="Z53" s="7"/>
      <c r="AA53" s="6"/>
      <c r="AB53" s="7"/>
      <c r="AC53" s="7"/>
      <c r="AD53" s="22"/>
      <c r="AE53" s="23"/>
    </row>
    <row r="54" spans="2:31" s="1" customFormat="1" ht="13.5" customHeight="1">
      <c r="B54" s="1187"/>
      <c r="C54" s="1166"/>
      <c r="D54" s="1166"/>
      <c r="E54" s="1166"/>
      <c r="F54" s="1188"/>
      <c r="G54" s="241"/>
      <c r="H54" s="1" t="s">
        <v>612</v>
      </c>
      <c r="V54" s="12"/>
      <c r="W54" s="12"/>
      <c r="AA54" s="241"/>
      <c r="AB54" s="400" t="s">
        <v>662</v>
      </c>
      <c r="AC54" s="400" t="s">
        <v>663</v>
      </c>
      <c r="AD54" s="400" t="s">
        <v>664</v>
      </c>
      <c r="AE54" s="488"/>
    </row>
    <row r="55" spans="2:31" s="1" customFormat="1" ht="30" customHeight="1">
      <c r="B55" s="1187"/>
      <c r="C55" s="1166"/>
      <c r="D55" s="1166"/>
      <c r="E55" s="1166"/>
      <c r="F55" s="1188"/>
      <c r="G55" s="241"/>
      <c r="I55" s="366" t="s">
        <v>142</v>
      </c>
      <c r="J55" s="1196" t="s">
        <v>613</v>
      </c>
      <c r="K55" s="1197"/>
      <c r="L55" s="1197"/>
      <c r="M55" s="1197"/>
      <c r="N55" s="1197"/>
      <c r="O55" s="1197"/>
      <c r="P55" s="1197"/>
      <c r="Q55" s="1197"/>
      <c r="R55" s="1197"/>
      <c r="S55" s="1197"/>
      <c r="T55" s="1197"/>
      <c r="U55" s="1197"/>
      <c r="V55" s="1161"/>
      <c r="W55" s="904"/>
      <c r="X55" s="11" t="s">
        <v>97</v>
      </c>
      <c r="AA55" s="241"/>
      <c r="AD55" s="2"/>
      <c r="AE55" s="385"/>
    </row>
    <row r="56" spans="2:31" s="1" customFormat="1" ht="33" customHeight="1">
      <c r="B56" s="1187"/>
      <c r="C56" s="1166"/>
      <c r="D56" s="1166"/>
      <c r="E56" s="1166"/>
      <c r="F56" s="1188"/>
      <c r="G56" s="241"/>
      <c r="I56" s="489" t="s">
        <v>140</v>
      </c>
      <c r="J56" s="1192" t="s">
        <v>614</v>
      </c>
      <c r="K56" s="1177"/>
      <c r="L56" s="1177"/>
      <c r="M56" s="1177"/>
      <c r="N56" s="1177"/>
      <c r="O56" s="1177"/>
      <c r="P56" s="1177"/>
      <c r="Q56" s="1177"/>
      <c r="R56" s="1177"/>
      <c r="S56" s="1177"/>
      <c r="T56" s="1177"/>
      <c r="U56" s="1177"/>
      <c r="V56" s="1161"/>
      <c r="W56" s="904"/>
      <c r="X56" s="279" t="s">
        <v>97</v>
      </c>
      <c r="Z56" s="479"/>
      <c r="AA56" s="338"/>
      <c r="AB56" s="403" t="s">
        <v>194</v>
      </c>
      <c r="AC56" s="403" t="s">
        <v>663</v>
      </c>
      <c r="AD56" s="403" t="s">
        <v>194</v>
      </c>
      <c r="AE56" s="385"/>
    </row>
    <row r="57" spans="2:31" s="1" customFormat="1" ht="6" customHeight="1">
      <c r="B57" s="1189"/>
      <c r="C57" s="1190"/>
      <c r="D57" s="1190"/>
      <c r="E57" s="1190"/>
      <c r="F57" s="1191"/>
      <c r="G57" s="277"/>
      <c r="H57" s="8"/>
      <c r="I57" s="8"/>
      <c r="J57" s="8"/>
      <c r="K57" s="8"/>
      <c r="L57" s="8"/>
      <c r="M57" s="8"/>
      <c r="N57" s="8"/>
      <c r="O57" s="8"/>
      <c r="P57" s="8"/>
      <c r="Q57" s="8"/>
      <c r="R57" s="8"/>
      <c r="S57" s="8"/>
      <c r="T57" s="8"/>
      <c r="U57" s="491"/>
      <c r="V57" s="491"/>
      <c r="W57" s="8"/>
      <c r="X57" s="8"/>
      <c r="Y57" s="8"/>
      <c r="Z57" s="8"/>
      <c r="AA57" s="277"/>
      <c r="AB57" s="8"/>
      <c r="AC57" s="8"/>
      <c r="AD57" s="297"/>
      <c r="AE57" s="343"/>
    </row>
    <row r="58" spans="2:31" s="1" customFormat="1" ht="6" customHeight="1">
      <c r="B58" s="369"/>
      <c r="C58" s="369"/>
      <c r="D58" s="369"/>
      <c r="E58" s="369"/>
      <c r="F58" s="369"/>
      <c r="U58" s="479"/>
      <c r="V58" s="479"/>
    </row>
    <row r="59" spans="2:31" s="1" customFormat="1" ht="13.5" customHeight="1">
      <c r="B59" s="1198" t="s">
        <v>615</v>
      </c>
      <c r="C59" s="1199"/>
      <c r="D59" s="480" t="s">
        <v>1015</v>
      </c>
      <c r="E59" s="480"/>
      <c r="F59" s="480"/>
      <c r="G59" s="480"/>
      <c r="H59" s="480"/>
      <c r="I59" s="480"/>
      <c r="J59" s="480"/>
      <c r="K59" s="480"/>
      <c r="L59" s="480"/>
      <c r="M59" s="480"/>
      <c r="N59" s="480"/>
      <c r="O59" s="480"/>
      <c r="P59" s="480"/>
      <c r="Q59" s="480"/>
      <c r="R59" s="480"/>
      <c r="S59" s="480"/>
      <c r="T59" s="480"/>
      <c r="U59" s="480"/>
      <c r="V59" s="480"/>
      <c r="W59" s="480"/>
      <c r="X59" s="480"/>
      <c r="Y59" s="480"/>
      <c r="Z59" s="480"/>
      <c r="AA59" s="480"/>
      <c r="AB59" s="480"/>
      <c r="AC59" s="480"/>
      <c r="AD59" s="480"/>
      <c r="AE59" s="480"/>
    </row>
    <row r="60" spans="2:31" s="1" customFormat="1" ht="37.5" customHeight="1">
      <c r="B60" s="1198" t="s">
        <v>616</v>
      </c>
      <c r="C60" s="1199"/>
      <c r="D60" s="1200" t="s">
        <v>617</v>
      </c>
      <c r="E60" s="1200"/>
      <c r="F60" s="1200"/>
      <c r="G60" s="1200"/>
      <c r="H60" s="1200"/>
      <c r="I60" s="1200"/>
      <c r="J60" s="1200"/>
      <c r="K60" s="1200"/>
      <c r="L60" s="1200"/>
      <c r="M60" s="1200"/>
      <c r="N60" s="1200"/>
      <c r="O60" s="1200"/>
      <c r="P60" s="1200"/>
      <c r="Q60" s="1200"/>
      <c r="R60" s="1200"/>
      <c r="S60" s="1200"/>
      <c r="T60" s="1200"/>
      <c r="U60" s="1200"/>
      <c r="V60" s="1200"/>
      <c r="W60" s="1200"/>
      <c r="X60" s="1200"/>
      <c r="Y60" s="1200"/>
      <c r="Z60" s="1200"/>
      <c r="AA60" s="1200"/>
      <c r="AB60" s="1200"/>
      <c r="AC60" s="1200"/>
      <c r="AD60" s="1200"/>
      <c r="AE60" s="1200"/>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xr:uid="{87BFDEE8-5CB7-4DA7-8789-16ACEBC9E852}">
      <formula1>"□,■"</formula1>
    </dataValidation>
  </dataValidations>
  <pageMargins left="0.7" right="0.7" top="0.75" bottom="0.75" header="0.3" footer="0.3"/>
  <pageSetup paperSize="9" scale="87" orientation="portrait" r:id="rId1"/>
  <rowBreaks count="1" manualBreakCount="1">
    <brk id="6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D6094-6927-4ABD-B1DB-5D4439E19BD1}">
  <sheetPr>
    <tabColor rgb="FFFFFF00"/>
    <pageSetUpPr fitToPage="1"/>
  </sheetPr>
  <dimension ref="B1:Z38"/>
  <sheetViews>
    <sheetView view="pageBreakPreview" zoomScaleNormal="100" zoomScaleSheetLayoutView="100" workbookViewId="0"/>
  </sheetViews>
  <sheetFormatPr defaultColWidth="3.44140625" defaultRowHeight="13.2"/>
  <cols>
    <col min="1" max="1" width="2" style="3" customWidth="1"/>
    <col min="2" max="2" width="3" style="384" customWidth="1"/>
    <col min="3" max="7" width="3.44140625" style="3"/>
    <col min="8" max="8" width="2.44140625" style="3" customWidth="1"/>
    <col min="9" max="26" width="3.44140625" style="3"/>
    <col min="27" max="27" width="1.33203125" style="3" customWidth="1"/>
    <col min="28" max="16384" width="3.44140625" style="3"/>
  </cols>
  <sheetData>
    <row r="1" spans="2:26" s="1" customFormat="1"/>
    <row r="2" spans="2:26" s="1" customFormat="1">
      <c r="B2" s="1" t="s">
        <v>853</v>
      </c>
    </row>
    <row r="3" spans="2:26" s="1" customFormat="1"/>
    <row r="4" spans="2:26" s="1" customFormat="1">
      <c r="B4" s="899" t="s">
        <v>104</v>
      </c>
      <c r="C4" s="899"/>
      <c r="D4" s="899"/>
      <c r="E4" s="899"/>
      <c r="F4" s="899"/>
      <c r="G4" s="899"/>
      <c r="H4" s="899"/>
      <c r="I4" s="899"/>
      <c r="J4" s="899"/>
      <c r="K4" s="899"/>
      <c r="L4" s="899"/>
      <c r="M4" s="899"/>
      <c r="N4" s="899"/>
      <c r="O4" s="899"/>
      <c r="P4" s="899"/>
      <c r="Q4" s="899"/>
      <c r="R4" s="899"/>
      <c r="S4" s="899"/>
      <c r="T4" s="899"/>
      <c r="U4" s="899"/>
      <c r="V4" s="899"/>
      <c r="W4" s="899"/>
      <c r="X4" s="899"/>
      <c r="Y4" s="899"/>
      <c r="Z4" s="899"/>
    </row>
    <row r="5" spans="2:26" s="1" customFormat="1"/>
    <row r="6" spans="2:26" s="1" customFormat="1" ht="31.5" customHeight="1">
      <c r="B6" s="1161" t="s">
        <v>145</v>
      </c>
      <c r="C6" s="1161"/>
      <c r="D6" s="1161"/>
      <c r="E6" s="1161"/>
      <c r="F6" s="1161"/>
      <c r="G6" s="1162"/>
      <c r="H6" s="1163"/>
      <c r="I6" s="1163"/>
      <c r="J6" s="1163"/>
      <c r="K6" s="1163"/>
      <c r="L6" s="1163"/>
      <c r="M6" s="1163"/>
      <c r="N6" s="1163"/>
      <c r="O6" s="1163"/>
      <c r="P6" s="1163"/>
      <c r="Q6" s="1163"/>
      <c r="R6" s="1163"/>
      <c r="S6" s="1163"/>
      <c r="T6" s="1163"/>
      <c r="U6" s="1163"/>
      <c r="V6" s="1163"/>
      <c r="W6" s="1163"/>
      <c r="X6" s="1163"/>
      <c r="Y6" s="1163"/>
      <c r="Z6" s="1164"/>
    </row>
    <row r="7" spans="2:26" s="1" customFormat="1" ht="31.5" customHeight="1">
      <c r="B7" s="904" t="s">
        <v>63</v>
      </c>
      <c r="C7" s="905"/>
      <c r="D7" s="905"/>
      <c r="E7" s="905"/>
      <c r="F7" s="906"/>
      <c r="G7" s="410" t="s">
        <v>194</v>
      </c>
      <c r="H7" s="364" t="s">
        <v>840</v>
      </c>
      <c r="I7" s="364"/>
      <c r="J7" s="364"/>
      <c r="K7" s="364"/>
      <c r="L7" s="403" t="s">
        <v>194</v>
      </c>
      <c r="M7" s="364" t="s">
        <v>841</v>
      </c>
      <c r="N7" s="364"/>
      <c r="O7" s="364"/>
      <c r="P7" s="364"/>
      <c r="Q7" s="403" t="s">
        <v>194</v>
      </c>
      <c r="R7" s="364" t="s">
        <v>842</v>
      </c>
      <c r="S7" s="364"/>
      <c r="T7" s="364"/>
      <c r="U7" s="364"/>
      <c r="V7" s="364"/>
      <c r="W7" s="364"/>
      <c r="X7" s="364"/>
      <c r="Y7" s="364"/>
      <c r="Z7" s="365"/>
    </row>
    <row r="8" spans="2:26" ht="31.5" customHeight="1">
      <c r="B8" s="904" t="s">
        <v>94</v>
      </c>
      <c r="C8" s="905"/>
      <c r="D8" s="905"/>
      <c r="E8" s="905"/>
      <c r="F8" s="906"/>
      <c r="G8" s="410" t="s">
        <v>194</v>
      </c>
      <c r="H8" s="10" t="s">
        <v>843</v>
      </c>
      <c r="I8" s="10"/>
      <c r="J8" s="10"/>
      <c r="K8" s="10"/>
      <c r="L8" s="10"/>
      <c r="M8" s="10"/>
      <c r="N8" s="10"/>
      <c r="O8" s="10"/>
      <c r="P8" s="403" t="s">
        <v>194</v>
      </c>
      <c r="Q8" s="10" t="s">
        <v>844</v>
      </c>
      <c r="R8" s="10"/>
      <c r="S8" s="411"/>
      <c r="T8" s="411"/>
      <c r="U8" s="411"/>
      <c r="V8" s="411"/>
      <c r="W8" s="411"/>
      <c r="X8" s="411"/>
      <c r="Y8" s="411"/>
      <c r="Z8" s="412"/>
    </row>
    <row r="9" spans="2:26" ht="20.100000000000001" customHeight="1">
      <c r="B9" s="1038" t="s">
        <v>146</v>
      </c>
      <c r="C9" s="1039"/>
      <c r="D9" s="1039"/>
      <c r="E9" s="1039"/>
      <c r="F9" s="1040"/>
      <c r="G9" s="403" t="s">
        <v>194</v>
      </c>
      <c r="H9" s="7" t="s">
        <v>854</v>
      </c>
      <c r="I9" s="7"/>
      <c r="J9" s="7"/>
      <c r="K9" s="7"/>
      <c r="L9" s="7"/>
      <c r="M9" s="7"/>
      <c r="N9" s="7"/>
      <c r="O9" s="7"/>
      <c r="P9" s="7"/>
      <c r="Q9" s="403" t="s">
        <v>194</v>
      </c>
      <c r="R9" s="7" t="s">
        <v>855</v>
      </c>
      <c r="S9" s="413"/>
      <c r="T9" s="413"/>
      <c r="U9" s="413"/>
      <c r="V9" s="413"/>
      <c r="W9" s="413"/>
      <c r="X9" s="413"/>
      <c r="Y9" s="413"/>
      <c r="Z9" s="414"/>
    </row>
    <row r="10" spans="2:26" ht="20.100000000000001" customHeight="1">
      <c r="B10" s="1158"/>
      <c r="C10" s="1159"/>
      <c r="D10" s="1159"/>
      <c r="E10" s="1159"/>
      <c r="F10" s="1160"/>
      <c r="G10" s="415" t="s">
        <v>194</v>
      </c>
      <c r="H10" s="8" t="s">
        <v>856</v>
      </c>
      <c r="I10" s="8"/>
      <c r="J10" s="8"/>
      <c r="K10" s="8"/>
      <c r="L10" s="8"/>
      <c r="M10" s="8"/>
      <c r="N10" s="8"/>
      <c r="O10" s="8"/>
      <c r="P10" s="8"/>
      <c r="Q10" s="416" t="s">
        <v>194</v>
      </c>
      <c r="R10" s="8" t="s">
        <v>857</v>
      </c>
      <c r="S10" s="417"/>
      <c r="T10" s="417"/>
      <c r="U10" s="417"/>
      <c r="V10" s="417"/>
      <c r="W10" s="417"/>
      <c r="X10" s="417"/>
      <c r="Y10" s="417"/>
      <c r="Z10" s="418"/>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241" t="s">
        <v>105</v>
      </c>
      <c r="Z13" s="242"/>
    </row>
    <row r="14" spans="2:26" s="1" customFormat="1">
      <c r="B14" s="241"/>
      <c r="Z14" s="242"/>
    </row>
    <row r="15" spans="2:26" s="1" customFormat="1">
      <c r="B15" s="241"/>
      <c r="C15" s="1" t="s">
        <v>106</v>
      </c>
      <c r="Z15" s="242"/>
    </row>
    <row r="16" spans="2:26" s="1" customFormat="1" ht="6.75" customHeight="1">
      <c r="B16" s="241"/>
      <c r="Z16" s="242"/>
    </row>
    <row r="17" spans="2:26" s="1" customFormat="1" ht="26.25" customHeight="1">
      <c r="B17" s="241"/>
      <c r="C17" s="1162" t="s">
        <v>107</v>
      </c>
      <c r="D17" s="1163"/>
      <c r="E17" s="1163"/>
      <c r="F17" s="1163"/>
      <c r="G17" s="1164"/>
      <c r="H17" s="904"/>
      <c r="I17" s="905"/>
      <c r="J17" s="905"/>
      <c r="K17" s="905"/>
      <c r="L17" s="905"/>
      <c r="M17" s="905"/>
      <c r="N17" s="348" t="s">
        <v>64</v>
      </c>
      <c r="P17" s="1162" t="s">
        <v>108</v>
      </c>
      <c r="Q17" s="1163"/>
      <c r="R17" s="1163"/>
      <c r="S17" s="1163"/>
      <c r="T17" s="1164"/>
      <c r="U17" s="904"/>
      <c r="V17" s="905"/>
      <c r="W17" s="905"/>
      <c r="X17" s="905"/>
      <c r="Y17" s="348" t="s">
        <v>64</v>
      </c>
      <c r="Z17" s="242"/>
    </row>
    <row r="18" spans="2:26" s="1" customFormat="1">
      <c r="B18" s="241"/>
      <c r="N18" s="12"/>
      <c r="Z18" s="242"/>
    </row>
    <row r="19" spans="2:26" s="1" customFormat="1">
      <c r="B19" s="241"/>
      <c r="C19" s="1" t="s">
        <v>95</v>
      </c>
      <c r="Z19" s="242"/>
    </row>
    <row r="20" spans="2:26" s="1" customFormat="1" ht="6.75" customHeight="1">
      <c r="B20" s="241"/>
      <c r="Z20" s="242"/>
    </row>
    <row r="21" spans="2:26" s="1" customFormat="1" ht="26.25" customHeight="1">
      <c r="B21" s="241"/>
      <c r="C21" s="1162" t="s">
        <v>109</v>
      </c>
      <c r="D21" s="1163"/>
      <c r="E21" s="1163"/>
      <c r="F21" s="1163"/>
      <c r="G21" s="1164"/>
      <c r="H21" s="1162" t="s">
        <v>143</v>
      </c>
      <c r="I21" s="1163"/>
      <c r="J21" s="1163"/>
      <c r="K21" s="1163"/>
      <c r="L21" s="905"/>
      <c r="M21" s="905"/>
      <c r="N21" s="348" t="s">
        <v>64</v>
      </c>
      <c r="O21" s="1162" t="s">
        <v>103</v>
      </c>
      <c r="P21" s="1163"/>
      <c r="Q21" s="1163"/>
      <c r="R21" s="1163"/>
      <c r="S21" s="905"/>
      <c r="T21" s="905"/>
      <c r="U21" s="348" t="s">
        <v>64</v>
      </c>
      <c r="Z21" s="242"/>
    </row>
    <row r="22" spans="2:26" s="1" customFormat="1" ht="26.25" customHeight="1">
      <c r="B22" s="241"/>
      <c r="C22" s="1162" t="s">
        <v>147</v>
      </c>
      <c r="D22" s="1163"/>
      <c r="E22" s="1163"/>
      <c r="F22" s="1163"/>
      <c r="G22" s="1164"/>
      <c r="H22" s="1162" t="s">
        <v>143</v>
      </c>
      <c r="I22" s="1163"/>
      <c r="J22" s="1163"/>
      <c r="K22" s="1163"/>
      <c r="L22" s="905"/>
      <c r="M22" s="905"/>
      <c r="N22" s="348" t="s">
        <v>64</v>
      </c>
      <c r="O22" s="1162" t="s">
        <v>103</v>
      </c>
      <c r="P22" s="1163"/>
      <c r="Q22" s="1163"/>
      <c r="R22" s="1163"/>
      <c r="S22" s="905"/>
      <c r="T22" s="905"/>
      <c r="U22" s="348" t="s">
        <v>64</v>
      </c>
      <c r="Z22" s="242"/>
    </row>
    <row r="23" spans="2:26" s="1" customFormat="1" ht="26.25" customHeight="1">
      <c r="B23" s="241"/>
      <c r="C23" s="1162" t="s">
        <v>96</v>
      </c>
      <c r="D23" s="1163"/>
      <c r="E23" s="1163"/>
      <c r="F23" s="1163"/>
      <c r="G23" s="1164"/>
      <c r="H23" s="1162" t="s">
        <v>143</v>
      </c>
      <c r="I23" s="1163"/>
      <c r="J23" s="1163"/>
      <c r="K23" s="1163"/>
      <c r="L23" s="905"/>
      <c r="M23" s="905"/>
      <c r="N23" s="348" t="s">
        <v>64</v>
      </c>
      <c r="O23" s="1162" t="s">
        <v>103</v>
      </c>
      <c r="P23" s="1163"/>
      <c r="Q23" s="1163"/>
      <c r="R23" s="1163"/>
      <c r="S23" s="905"/>
      <c r="T23" s="905"/>
      <c r="U23" s="348" t="s">
        <v>64</v>
      </c>
      <c r="Z23" s="242"/>
    </row>
    <row r="24" spans="2:26" s="1" customFormat="1">
      <c r="B24" s="241"/>
      <c r="L24" s="12"/>
      <c r="Q24" s="12"/>
      <c r="V24" s="12"/>
      <c r="Z24" s="242"/>
    </row>
    <row r="25" spans="2:26" s="1" customFormat="1">
      <c r="B25" s="241"/>
      <c r="C25" s="1" t="s">
        <v>74</v>
      </c>
      <c r="Z25" s="242"/>
    </row>
    <row r="26" spans="2:26" s="1" customFormat="1" ht="4.5" customHeight="1">
      <c r="B26" s="241"/>
      <c r="Z26" s="242"/>
    </row>
    <row r="27" spans="2:26" s="1" customFormat="1" ht="24" customHeight="1">
      <c r="B27" s="241"/>
      <c r="C27" s="904" t="s">
        <v>73</v>
      </c>
      <c r="D27" s="905"/>
      <c r="E27" s="905"/>
      <c r="F27" s="905"/>
      <c r="G27" s="905"/>
      <c r="H27" s="905"/>
      <c r="I27" s="905"/>
      <c r="J27" s="905"/>
      <c r="K27" s="905"/>
      <c r="L27" s="905"/>
      <c r="M27" s="905"/>
      <c r="N27" s="905"/>
      <c r="O27" s="906"/>
      <c r="P27" s="904" t="s">
        <v>55</v>
      </c>
      <c r="Q27" s="905"/>
      <c r="R27" s="905"/>
      <c r="S27" s="905"/>
      <c r="T27" s="905"/>
      <c r="U27" s="905"/>
      <c r="V27" s="905"/>
      <c r="W27" s="905"/>
      <c r="X27" s="905"/>
      <c r="Y27" s="906"/>
      <c r="Z27" s="363"/>
    </row>
    <row r="28" spans="2:26" s="1" customFormat="1" ht="21" customHeight="1">
      <c r="B28" s="241"/>
      <c r="C28" s="1162"/>
      <c r="D28" s="1163"/>
      <c r="E28" s="1163"/>
      <c r="F28" s="1163"/>
      <c r="G28" s="1163"/>
      <c r="H28" s="1163"/>
      <c r="I28" s="1163"/>
      <c r="J28" s="1163"/>
      <c r="K28" s="1163"/>
      <c r="L28" s="1163"/>
      <c r="M28" s="1163"/>
      <c r="N28" s="1163"/>
      <c r="O28" s="1164"/>
      <c r="P28" s="1162"/>
      <c r="Q28" s="1163"/>
      <c r="R28" s="1163"/>
      <c r="S28" s="1163"/>
      <c r="T28" s="1163"/>
      <c r="U28" s="1163"/>
      <c r="V28" s="1163"/>
      <c r="W28" s="1163"/>
      <c r="X28" s="1163"/>
      <c r="Y28" s="1164"/>
      <c r="Z28" s="242"/>
    </row>
    <row r="29" spans="2:26" s="1" customFormat="1" ht="21" customHeight="1">
      <c r="B29" s="241"/>
      <c r="C29" s="1162"/>
      <c r="D29" s="1163"/>
      <c r="E29" s="1163"/>
      <c r="F29" s="1163"/>
      <c r="G29" s="1163"/>
      <c r="H29" s="1163"/>
      <c r="I29" s="1163"/>
      <c r="J29" s="1163"/>
      <c r="K29" s="1163"/>
      <c r="L29" s="1163"/>
      <c r="M29" s="1163"/>
      <c r="N29" s="1163"/>
      <c r="O29" s="1164"/>
      <c r="P29" s="1162"/>
      <c r="Q29" s="1163"/>
      <c r="R29" s="1163"/>
      <c r="S29" s="1163"/>
      <c r="T29" s="1163"/>
      <c r="U29" s="1163"/>
      <c r="V29" s="1163"/>
      <c r="W29" s="1163"/>
      <c r="X29" s="1163"/>
      <c r="Y29" s="1164"/>
      <c r="Z29" s="242"/>
    </row>
    <row r="30" spans="2:26" s="1" customFormat="1" ht="21" customHeight="1">
      <c r="B30" s="241"/>
      <c r="C30" s="1162"/>
      <c r="D30" s="1163"/>
      <c r="E30" s="1163"/>
      <c r="F30" s="1163"/>
      <c r="G30" s="1163"/>
      <c r="H30" s="1163"/>
      <c r="I30" s="1163"/>
      <c r="J30" s="1163"/>
      <c r="K30" s="1163"/>
      <c r="L30" s="1163"/>
      <c r="M30" s="1163"/>
      <c r="N30" s="1163"/>
      <c r="O30" s="1164"/>
      <c r="P30" s="1162"/>
      <c r="Q30" s="1163"/>
      <c r="R30" s="1163"/>
      <c r="S30" s="1163"/>
      <c r="T30" s="1163"/>
      <c r="U30" s="1163"/>
      <c r="V30" s="1163"/>
      <c r="W30" s="1163"/>
      <c r="X30" s="1163"/>
      <c r="Y30" s="1164"/>
      <c r="Z30" s="242"/>
    </row>
    <row r="31" spans="2:26" s="1" customFormat="1" ht="21" customHeight="1">
      <c r="B31" s="241"/>
      <c r="C31" s="1162"/>
      <c r="D31" s="1163"/>
      <c r="E31" s="1163"/>
      <c r="F31" s="1163"/>
      <c r="G31" s="1163"/>
      <c r="H31" s="1163"/>
      <c r="I31" s="1163"/>
      <c r="J31" s="1163"/>
      <c r="K31" s="1163"/>
      <c r="L31" s="1163"/>
      <c r="M31" s="1163"/>
      <c r="N31" s="1163"/>
      <c r="O31" s="1164"/>
      <c r="P31" s="1162"/>
      <c r="Q31" s="1163"/>
      <c r="R31" s="1163"/>
      <c r="S31" s="1163"/>
      <c r="T31" s="1163"/>
      <c r="U31" s="1163"/>
      <c r="V31" s="1163"/>
      <c r="W31" s="1163"/>
      <c r="X31" s="1163"/>
      <c r="Y31" s="1164"/>
      <c r="Z31" s="242"/>
    </row>
    <row r="32" spans="2:26" s="1" customFormat="1" ht="21" customHeight="1">
      <c r="B32" s="241"/>
      <c r="C32" s="1162"/>
      <c r="D32" s="1163"/>
      <c r="E32" s="1163"/>
      <c r="F32" s="1163"/>
      <c r="G32" s="1163"/>
      <c r="H32" s="1163"/>
      <c r="I32" s="1163"/>
      <c r="J32" s="1163"/>
      <c r="K32" s="1163"/>
      <c r="L32" s="1163"/>
      <c r="M32" s="1163"/>
      <c r="N32" s="1163"/>
      <c r="O32" s="1164"/>
      <c r="P32" s="1162"/>
      <c r="Q32" s="1163"/>
      <c r="R32" s="1163"/>
      <c r="S32" s="1163"/>
      <c r="T32" s="1163"/>
      <c r="U32" s="1163"/>
      <c r="V32" s="1163"/>
      <c r="W32" s="1163"/>
      <c r="X32" s="1163"/>
      <c r="Y32" s="1164"/>
      <c r="Z32" s="242"/>
    </row>
    <row r="33" spans="2:26" s="1" customFormat="1" ht="21" customHeight="1">
      <c r="B33" s="241"/>
      <c r="C33" s="387"/>
      <c r="D33" s="387"/>
      <c r="E33" s="387"/>
      <c r="F33" s="387"/>
      <c r="G33" s="387"/>
      <c r="H33" s="387"/>
      <c r="I33" s="387"/>
      <c r="J33" s="387"/>
      <c r="K33" s="387"/>
      <c r="L33" s="387"/>
      <c r="M33" s="387"/>
      <c r="N33" s="387"/>
      <c r="O33" s="387"/>
      <c r="P33" s="8"/>
      <c r="Q33" s="8"/>
      <c r="R33" s="8"/>
      <c r="S33" s="8"/>
      <c r="T33" s="8"/>
      <c r="U33" s="8"/>
      <c r="V33" s="8"/>
      <c r="W33" s="8"/>
      <c r="X33" s="8"/>
      <c r="Y33" s="8"/>
      <c r="Z33" s="242"/>
    </row>
    <row r="34" spans="2:26" s="1" customFormat="1" ht="21" customHeight="1">
      <c r="B34" s="241"/>
      <c r="C34" s="1178" t="s">
        <v>144</v>
      </c>
      <c r="D34" s="1179"/>
      <c r="E34" s="1179"/>
      <c r="F34" s="1179"/>
      <c r="G34" s="1179"/>
      <c r="H34" s="1179"/>
      <c r="I34" s="1179"/>
      <c r="J34" s="1179"/>
      <c r="K34" s="1179"/>
      <c r="L34" s="1179"/>
      <c r="M34" s="1179"/>
      <c r="N34" s="1179"/>
      <c r="O34" s="1179"/>
      <c r="P34" s="1179"/>
      <c r="Q34" s="1179"/>
      <c r="R34" s="1179"/>
      <c r="S34" s="1179"/>
      <c r="T34" s="1179"/>
      <c r="U34" s="1179"/>
      <c r="V34" s="1180"/>
      <c r="W34" s="419" t="s">
        <v>662</v>
      </c>
      <c r="X34" s="420" t="s">
        <v>663</v>
      </c>
      <c r="Y34" s="421" t="s">
        <v>664</v>
      </c>
      <c r="Z34" s="242"/>
    </row>
    <row r="35" spans="2:26" s="1" customFormat="1" ht="21" customHeight="1">
      <c r="B35" s="241"/>
      <c r="C35" s="1184"/>
      <c r="D35" s="1185"/>
      <c r="E35" s="1185"/>
      <c r="F35" s="1185"/>
      <c r="G35" s="1185"/>
      <c r="H35" s="1185"/>
      <c r="I35" s="1185"/>
      <c r="J35" s="1185"/>
      <c r="K35" s="1185"/>
      <c r="L35" s="1185"/>
      <c r="M35" s="1185"/>
      <c r="N35" s="1185"/>
      <c r="O35" s="1185"/>
      <c r="P35" s="1185"/>
      <c r="Q35" s="1185"/>
      <c r="R35" s="1185"/>
      <c r="S35" s="1185"/>
      <c r="T35" s="1185"/>
      <c r="U35" s="1185"/>
      <c r="V35" s="1186"/>
      <c r="W35" s="415" t="s">
        <v>194</v>
      </c>
      <c r="X35" s="416" t="s">
        <v>663</v>
      </c>
      <c r="Y35" s="422" t="s">
        <v>194</v>
      </c>
      <c r="Z35" s="242"/>
    </row>
    <row r="36" spans="2:26" s="1" customFormat="1">
      <c r="B36" s="277"/>
      <c r="C36" s="8"/>
      <c r="D36" s="8"/>
      <c r="E36" s="8"/>
      <c r="F36" s="8"/>
      <c r="G36" s="8"/>
      <c r="H36" s="8"/>
      <c r="I36" s="8"/>
      <c r="J36" s="8"/>
      <c r="K36" s="8"/>
      <c r="L36" s="8"/>
      <c r="M36" s="8"/>
      <c r="N36" s="8"/>
      <c r="O36" s="8"/>
      <c r="P36" s="8"/>
      <c r="Q36" s="8"/>
      <c r="R36" s="8"/>
      <c r="S36" s="8"/>
      <c r="T36" s="8"/>
      <c r="U36" s="8"/>
      <c r="V36" s="8"/>
      <c r="W36" s="8"/>
      <c r="X36" s="8"/>
      <c r="Y36" s="8"/>
      <c r="Z36" s="279"/>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3"/>
  <dataValidations count="1">
    <dataValidation type="list" allowBlank="1" showInputMessage="1" showErrorMessage="1" sqref="G7:G10 L7 Q7 P8 Q9:Q10 W35 Y35" xr:uid="{5D547056-FE10-4E05-99AF-11DBD83B438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A3B25-2BB7-417A-85C0-C558A6E87224}">
  <sheetPr>
    <tabColor rgb="FFFFFF00"/>
    <pageSetUpPr fitToPage="1"/>
  </sheetPr>
  <dimension ref="A1:AD69"/>
  <sheetViews>
    <sheetView view="pageBreakPreview" zoomScaleNormal="100" zoomScaleSheetLayoutView="100" workbookViewId="0"/>
  </sheetViews>
  <sheetFormatPr defaultColWidth="3.44140625" defaultRowHeight="13.2"/>
  <cols>
    <col min="1" max="1" width="1" style="3" customWidth="1"/>
    <col min="2" max="2" width="3" style="384"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row r="2" spans="2:29" s="1" customFormat="1">
      <c r="B2" s="1" t="s">
        <v>859</v>
      </c>
      <c r="W2" s="45" t="s">
        <v>313</v>
      </c>
      <c r="X2" s="12"/>
      <c r="Y2" s="12" t="s">
        <v>34</v>
      </c>
      <c r="Z2" s="12"/>
      <c r="AA2" s="12" t="s">
        <v>261</v>
      </c>
      <c r="AB2" s="12"/>
      <c r="AC2" s="12" t="s">
        <v>376</v>
      </c>
    </row>
    <row r="3" spans="2:29" s="1" customFormat="1" ht="6.75" customHeight="1"/>
    <row r="4" spans="2:29" s="1" customFormat="1">
      <c r="B4" s="899" t="s">
        <v>557</v>
      </c>
      <c r="C4" s="899"/>
      <c r="D4" s="899"/>
      <c r="E4" s="899"/>
      <c r="F4" s="899"/>
      <c r="G4" s="899"/>
      <c r="H4" s="899"/>
      <c r="I4" s="899"/>
      <c r="J4" s="899"/>
      <c r="K4" s="899"/>
      <c r="L4" s="899"/>
      <c r="M4" s="899"/>
      <c r="N4" s="899"/>
      <c r="O4" s="899"/>
      <c r="P4" s="899"/>
      <c r="Q4" s="899"/>
      <c r="R4" s="899"/>
      <c r="S4" s="899"/>
      <c r="T4" s="899"/>
      <c r="U4" s="899"/>
      <c r="V4" s="899"/>
      <c r="W4" s="899"/>
      <c r="X4" s="899"/>
      <c r="Y4" s="899"/>
      <c r="Z4" s="899"/>
      <c r="AA4" s="899"/>
      <c r="AB4" s="899"/>
      <c r="AC4" s="899"/>
    </row>
    <row r="5" spans="2:29" s="1" customFormat="1" ht="7.5" customHeight="1"/>
    <row r="6" spans="2:29" s="1" customFormat="1" ht="19.5" customHeight="1">
      <c r="B6" s="1161" t="s">
        <v>145</v>
      </c>
      <c r="C6" s="1161"/>
      <c r="D6" s="1161"/>
      <c r="E6" s="1161"/>
      <c r="F6" s="1161"/>
      <c r="G6" s="904"/>
      <c r="H6" s="905"/>
      <c r="I6" s="905"/>
      <c r="J6" s="905"/>
      <c r="K6" s="905"/>
      <c r="L6" s="905"/>
      <c r="M6" s="905"/>
      <c r="N6" s="905"/>
      <c r="O6" s="905"/>
      <c r="P6" s="905"/>
      <c r="Q6" s="905"/>
      <c r="R6" s="905"/>
      <c r="S6" s="905"/>
      <c r="T6" s="905"/>
      <c r="U6" s="905"/>
      <c r="V6" s="905"/>
      <c r="W6" s="905"/>
      <c r="X6" s="905"/>
      <c r="Y6" s="905"/>
      <c r="Z6" s="905"/>
      <c r="AA6" s="905"/>
      <c r="AB6" s="905"/>
      <c r="AC6" s="906"/>
    </row>
    <row r="7" spans="2:29" s="1" customFormat="1" ht="19.5" customHeight="1">
      <c r="B7" s="904" t="s">
        <v>63</v>
      </c>
      <c r="C7" s="905"/>
      <c r="D7" s="905"/>
      <c r="E7" s="905"/>
      <c r="F7" s="906"/>
      <c r="G7" s="410" t="s">
        <v>194</v>
      </c>
      <c r="H7" s="364" t="s">
        <v>840</v>
      </c>
      <c r="I7" s="364"/>
      <c r="J7" s="364"/>
      <c r="K7" s="364"/>
      <c r="L7" s="398" t="s">
        <v>194</v>
      </c>
      <c r="M7" s="364" t="s">
        <v>841</v>
      </c>
      <c r="N7" s="364"/>
      <c r="O7" s="364"/>
      <c r="P7" s="364"/>
      <c r="Q7" s="398" t="s">
        <v>194</v>
      </c>
      <c r="R7" s="364" t="s">
        <v>842</v>
      </c>
      <c r="S7" s="364"/>
      <c r="T7" s="364"/>
      <c r="U7" s="364"/>
      <c r="V7" s="364"/>
      <c r="W7" s="364"/>
      <c r="X7" s="364"/>
      <c r="Y7" s="364"/>
      <c r="Z7" s="364"/>
      <c r="AA7" s="364"/>
      <c r="AB7" s="364"/>
      <c r="AC7" s="365"/>
    </row>
    <row r="8" spans="2:29" s="1" customFormat="1" ht="19.5" customHeight="1">
      <c r="B8" s="1038" t="s">
        <v>94</v>
      </c>
      <c r="C8" s="1039"/>
      <c r="D8" s="1039"/>
      <c r="E8" s="1039"/>
      <c r="F8" s="1040"/>
      <c r="G8" s="423" t="s">
        <v>194</v>
      </c>
      <c r="H8" s="22" t="s">
        <v>843</v>
      </c>
      <c r="I8" s="22"/>
      <c r="J8" s="22"/>
      <c r="K8" s="22"/>
      <c r="L8" s="22"/>
      <c r="M8" s="22"/>
      <c r="N8" s="22"/>
      <c r="O8" s="22"/>
      <c r="P8" s="22"/>
      <c r="Q8" s="424" t="s">
        <v>194</v>
      </c>
      <c r="R8" s="22" t="s">
        <v>844</v>
      </c>
      <c r="S8" s="22"/>
      <c r="T8" s="22"/>
      <c r="U8" s="22"/>
      <c r="V8" s="22"/>
      <c r="W8" s="22"/>
      <c r="X8" s="22"/>
      <c r="Y8" s="22"/>
      <c r="Z8" s="22"/>
      <c r="AA8" s="22"/>
      <c r="AB8" s="22"/>
      <c r="AC8" s="23"/>
    </row>
    <row r="9" spans="2:29" s="1" customFormat="1" ht="19.5" customHeight="1">
      <c r="B9" s="1158"/>
      <c r="C9" s="1159"/>
      <c r="D9" s="1159"/>
      <c r="E9" s="1159"/>
      <c r="F9" s="1160"/>
      <c r="G9" s="415" t="s">
        <v>194</v>
      </c>
      <c r="H9" s="297" t="s">
        <v>860</v>
      </c>
      <c r="I9" s="297"/>
      <c r="J9" s="297"/>
      <c r="K9" s="297"/>
      <c r="L9" s="297"/>
      <c r="M9" s="297"/>
      <c r="N9" s="297"/>
      <c r="O9" s="297"/>
      <c r="P9" s="297"/>
      <c r="Q9" s="297"/>
      <c r="R9" s="297"/>
      <c r="S9" s="297"/>
      <c r="T9" s="297"/>
      <c r="U9" s="297"/>
      <c r="V9" s="297"/>
      <c r="W9" s="297"/>
      <c r="X9" s="297"/>
      <c r="Y9" s="297"/>
      <c r="Z9" s="297"/>
      <c r="AA9" s="297"/>
      <c r="AB9" s="297"/>
      <c r="AC9" s="343"/>
    </row>
    <row r="10" spans="2:29" s="1" customFormat="1"/>
    <row r="11" spans="2:29" s="1" customFormat="1">
      <c r="B11" s="1" t="s">
        <v>558</v>
      </c>
    </row>
    <row r="12" spans="2:29" s="1" customFormat="1"/>
    <row r="13" spans="2:29" s="1" customFormat="1" ht="17.25" customHeight="1">
      <c r="B13" s="8" t="s">
        <v>559</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241"/>
      <c r="C15" s="1" t="s">
        <v>170</v>
      </c>
      <c r="Y15" s="241"/>
      <c r="AC15" s="242"/>
    </row>
    <row r="16" spans="2:29" s="1" customFormat="1" ht="6.75" customHeight="1">
      <c r="B16" s="241"/>
      <c r="Y16" s="241"/>
      <c r="AC16" s="242"/>
    </row>
    <row r="17" spans="2:29" s="1" customFormat="1" ht="19.5" customHeight="1">
      <c r="B17" s="241"/>
      <c r="C17" s="904"/>
      <c r="D17" s="905"/>
      <c r="E17" s="905"/>
      <c r="F17" s="905"/>
      <c r="G17" s="905"/>
      <c r="H17" s="905"/>
      <c r="I17" s="905"/>
      <c r="J17" s="905"/>
      <c r="K17" s="905"/>
      <c r="L17" s="905"/>
      <c r="M17" s="905"/>
      <c r="N17" s="364" t="s">
        <v>97</v>
      </c>
      <c r="O17" s="241"/>
      <c r="U17" s="12"/>
      <c r="V17" s="12"/>
      <c r="Y17" s="241"/>
      <c r="AC17" s="242"/>
    </row>
    <row r="18" spans="2:29" s="1" customFormat="1">
      <c r="B18" s="241"/>
      <c r="L18" s="12"/>
      <c r="Q18" s="12"/>
      <c r="W18" s="12"/>
      <c r="Y18" s="241"/>
      <c r="AC18" s="242"/>
    </row>
    <row r="19" spans="2:29" s="1" customFormat="1">
      <c r="B19" s="241"/>
      <c r="C19" s="1" t="s">
        <v>560</v>
      </c>
      <c r="Y19" s="241"/>
      <c r="AC19" s="242"/>
    </row>
    <row r="20" spans="2:29" s="1" customFormat="1" ht="6.75" customHeight="1">
      <c r="B20" s="241"/>
      <c r="Y20" s="241"/>
      <c r="AC20" s="242"/>
    </row>
    <row r="21" spans="2:29" s="1" customFormat="1" ht="19.5" customHeight="1">
      <c r="B21" s="241"/>
      <c r="C21" s="904"/>
      <c r="D21" s="905"/>
      <c r="E21" s="905"/>
      <c r="F21" s="905"/>
      <c r="G21" s="905"/>
      <c r="H21" s="905"/>
      <c r="I21" s="905"/>
      <c r="J21" s="905"/>
      <c r="K21" s="905"/>
      <c r="L21" s="905"/>
      <c r="M21" s="905"/>
      <c r="N21" s="364" t="s">
        <v>97</v>
      </c>
      <c r="O21" s="241"/>
      <c r="U21" s="12"/>
      <c r="V21" s="12"/>
      <c r="Y21" s="241"/>
      <c r="AC21" s="242"/>
    </row>
    <row r="22" spans="2:29" s="1" customFormat="1">
      <c r="B22" s="241"/>
      <c r="L22" s="12"/>
      <c r="Q22" s="12"/>
      <c r="W22" s="12"/>
      <c r="Y22" s="241"/>
      <c r="AC22" s="242"/>
    </row>
    <row r="23" spans="2:29" s="1" customFormat="1">
      <c r="B23" s="241"/>
      <c r="C23" s="1" t="s">
        <v>171</v>
      </c>
      <c r="L23" s="12"/>
      <c r="Q23" s="12"/>
      <c r="W23" s="12"/>
      <c r="Y23" s="241"/>
      <c r="Z23" s="400" t="s">
        <v>662</v>
      </c>
      <c r="AA23" s="400" t="s">
        <v>663</v>
      </c>
      <c r="AB23" s="400" t="s">
        <v>664</v>
      </c>
      <c r="AC23" s="242"/>
    </row>
    <row r="24" spans="2:29" s="1" customFormat="1" ht="7.5" customHeight="1">
      <c r="B24" s="241"/>
      <c r="L24" s="12"/>
      <c r="Q24" s="12"/>
      <c r="W24" s="12"/>
      <c r="Y24" s="241"/>
      <c r="AC24" s="242"/>
    </row>
    <row r="25" spans="2:29" s="1" customFormat="1" ht="19.5" customHeight="1">
      <c r="B25" s="241"/>
      <c r="C25" s="904"/>
      <c r="D25" s="905"/>
      <c r="E25" s="905"/>
      <c r="F25" s="905"/>
      <c r="G25" s="905"/>
      <c r="H25" s="905"/>
      <c r="I25" s="905"/>
      <c r="J25" s="905"/>
      <c r="K25" s="905"/>
      <c r="L25" s="905"/>
      <c r="M25" s="905"/>
      <c r="N25" s="365" t="s">
        <v>61</v>
      </c>
      <c r="P25" s="1" t="s">
        <v>172</v>
      </c>
      <c r="Q25" s="12"/>
      <c r="S25" s="1" t="s">
        <v>561</v>
      </c>
      <c r="W25" s="12"/>
      <c r="Y25" s="408"/>
      <c r="Z25" s="403" t="s">
        <v>194</v>
      </c>
      <c r="AA25" s="403" t="s">
        <v>663</v>
      </c>
      <c r="AB25" s="403" t="s">
        <v>194</v>
      </c>
      <c r="AC25" s="242"/>
    </row>
    <row r="26" spans="2:29" s="1" customFormat="1">
      <c r="B26" s="241"/>
      <c r="L26" s="12"/>
      <c r="Q26" s="12"/>
      <c r="W26" s="12"/>
      <c r="Y26" s="241"/>
      <c r="AC26" s="242"/>
    </row>
    <row r="27" spans="2:29" s="1" customFormat="1">
      <c r="B27" s="241"/>
      <c r="C27" s="1" t="s">
        <v>173</v>
      </c>
      <c r="Y27" s="241"/>
      <c r="AC27" s="242"/>
    </row>
    <row r="28" spans="2:29" s="1" customFormat="1" ht="6.75" customHeight="1">
      <c r="B28" s="241"/>
      <c r="Y28" s="241"/>
      <c r="AC28" s="242"/>
    </row>
    <row r="29" spans="2:29" s="1" customFormat="1" ht="19.5" customHeight="1">
      <c r="B29" s="241" t="s">
        <v>174</v>
      </c>
      <c r="C29" s="904" t="s">
        <v>167</v>
      </c>
      <c r="D29" s="905"/>
      <c r="E29" s="905"/>
      <c r="F29" s="905"/>
      <c r="G29" s="905"/>
      <c r="H29" s="906"/>
      <c r="I29" s="1162"/>
      <c r="J29" s="1163"/>
      <c r="K29" s="1163"/>
      <c r="L29" s="1163"/>
      <c r="M29" s="1163"/>
      <c r="N29" s="1163"/>
      <c r="O29" s="1163"/>
      <c r="P29" s="1163"/>
      <c r="Q29" s="1163"/>
      <c r="R29" s="1163"/>
      <c r="S29" s="1163"/>
      <c r="T29" s="1163"/>
      <c r="U29" s="1163"/>
      <c r="V29" s="1163"/>
      <c r="W29" s="1164"/>
      <c r="X29" s="2"/>
      <c r="Y29" s="338"/>
      <c r="Z29" s="2"/>
      <c r="AA29" s="2"/>
      <c r="AB29" s="2"/>
      <c r="AC29" s="242"/>
    </row>
    <row r="30" spans="2:29" s="1" customFormat="1" ht="19.5" customHeight="1">
      <c r="B30" s="241" t="s">
        <v>174</v>
      </c>
      <c r="C30" s="904" t="s">
        <v>175</v>
      </c>
      <c r="D30" s="905"/>
      <c r="E30" s="905"/>
      <c r="F30" s="905"/>
      <c r="G30" s="905"/>
      <c r="H30" s="906"/>
      <c r="I30" s="1162"/>
      <c r="J30" s="1163"/>
      <c r="K30" s="1163"/>
      <c r="L30" s="1163"/>
      <c r="M30" s="1163"/>
      <c r="N30" s="1163"/>
      <c r="O30" s="1163"/>
      <c r="P30" s="1163"/>
      <c r="Q30" s="1163"/>
      <c r="R30" s="1163"/>
      <c r="S30" s="1163"/>
      <c r="T30" s="1163"/>
      <c r="U30" s="1163"/>
      <c r="V30" s="1163"/>
      <c r="W30" s="1164"/>
      <c r="X30" s="2"/>
      <c r="Y30" s="338"/>
      <c r="Z30" s="2"/>
      <c r="AA30" s="2"/>
      <c r="AB30" s="2"/>
      <c r="AC30" s="242"/>
    </row>
    <row r="31" spans="2:29" s="1" customFormat="1" ht="19.5" customHeight="1">
      <c r="B31" s="241" t="s">
        <v>174</v>
      </c>
      <c r="C31" s="904" t="s">
        <v>168</v>
      </c>
      <c r="D31" s="905"/>
      <c r="E31" s="905"/>
      <c r="F31" s="905"/>
      <c r="G31" s="905"/>
      <c r="H31" s="906"/>
      <c r="I31" s="1162"/>
      <c r="J31" s="1163"/>
      <c r="K31" s="1163"/>
      <c r="L31" s="1163"/>
      <c r="M31" s="1163"/>
      <c r="N31" s="1163"/>
      <c r="O31" s="1163"/>
      <c r="P31" s="1163"/>
      <c r="Q31" s="1163"/>
      <c r="R31" s="1163"/>
      <c r="S31" s="1163"/>
      <c r="T31" s="1163"/>
      <c r="U31" s="1163"/>
      <c r="V31" s="1163"/>
      <c r="W31" s="1164"/>
      <c r="X31" s="2"/>
      <c r="Y31" s="338"/>
      <c r="Z31" s="2"/>
      <c r="AA31" s="2"/>
      <c r="AB31" s="2"/>
      <c r="AC31" s="242"/>
    </row>
    <row r="32" spans="2:29" s="1" customFormat="1" ht="13.5" customHeight="1">
      <c r="B32" s="241"/>
      <c r="C32" s="12"/>
      <c r="D32" s="12"/>
      <c r="E32" s="12"/>
      <c r="F32" s="12"/>
      <c r="G32" s="12"/>
      <c r="H32" s="12"/>
      <c r="I32" s="12"/>
      <c r="J32" s="12"/>
      <c r="K32" s="12"/>
      <c r="L32" s="12"/>
      <c r="M32" s="12"/>
      <c r="N32" s="12"/>
      <c r="O32" s="12"/>
      <c r="Y32" s="241"/>
      <c r="Z32" s="400" t="s">
        <v>662</v>
      </c>
      <c r="AA32" s="400" t="s">
        <v>663</v>
      </c>
      <c r="AB32" s="400" t="s">
        <v>664</v>
      </c>
      <c r="AC32" s="242"/>
    </row>
    <row r="33" spans="1:30" s="1" customFormat="1" ht="19.5" customHeight="1">
      <c r="B33" s="241"/>
      <c r="C33" s="1" t="s">
        <v>176</v>
      </c>
      <c r="D33" s="12"/>
      <c r="E33" s="12"/>
      <c r="F33" s="12"/>
      <c r="G33" s="12"/>
      <c r="H33" s="12"/>
      <c r="I33" s="12"/>
      <c r="J33" s="12"/>
      <c r="K33" s="12"/>
      <c r="L33" s="12"/>
      <c r="M33" s="12"/>
      <c r="N33" s="12"/>
      <c r="O33" s="12"/>
      <c r="Y33" s="408"/>
      <c r="Z33" s="403" t="s">
        <v>194</v>
      </c>
      <c r="AA33" s="403" t="s">
        <v>663</v>
      </c>
      <c r="AB33" s="403" t="s">
        <v>194</v>
      </c>
      <c r="AC33" s="242"/>
    </row>
    <row r="34" spans="1:30" s="1" customFormat="1" ht="13.5" customHeight="1">
      <c r="B34" s="241"/>
      <c r="C34" s="294"/>
      <c r="D34" s="12"/>
      <c r="E34" s="12"/>
      <c r="F34" s="12"/>
      <c r="G34" s="12"/>
      <c r="H34" s="12"/>
      <c r="I34" s="12"/>
      <c r="J34" s="12"/>
      <c r="K34" s="12"/>
      <c r="L34" s="12"/>
      <c r="M34" s="12"/>
      <c r="N34" s="12"/>
      <c r="O34" s="12"/>
      <c r="Y34" s="241"/>
      <c r="Z34" s="400"/>
      <c r="AA34" s="400"/>
      <c r="AB34" s="400"/>
      <c r="AC34" s="242"/>
    </row>
    <row r="35" spans="1:30" s="1" customFormat="1" ht="27.75" customHeight="1">
      <c r="B35" s="241"/>
      <c r="C35" s="921" t="s">
        <v>562</v>
      </c>
      <c r="D35" s="921"/>
      <c r="E35" s="921"/>
      <c r="F35" s="921"/>
      <c r="G35" s="921"/>
      <c r="H35" s="921"/>
      <c r="I35" s="921"/>
      <c r="J35" s="921"/>
      <c r="K35" s="921"/>
      <c r="L35" s="921"/>
      <c r="M35" s="921"/>
      <c r="N35" s="921"/>
      <c r="O35" s="921"/>
      <c r="P35" s="921"/>
      <c r="Q35" s="921"/>
      <c r="R35" s="921"/>
      <c r="S35" s="921"/>
      <c r="T35" s="921"/>
      <c r="U35" s="921"/>
      <c r="V35" s="921"/>
      <c r="W35" s="921"/>
      <c r="X35" s="921"/>
      <c r="Y35" s="408"/>
      <c r="Z35" s="403" t="s">
        <v>194</v>
      </c>
      <c r="AA35" s="403" t="s">
        <v>663</v>
      </c>
      <c r="AB35" s="403" t="s">
        <v>194</v>
      </c>
      <c r="AC35" s="242"/>
    </row>
    <row r="36" spans="1:30" s="1" customFormat="1" ht="9" customHeight="1">
      <c r="B36" s="277"/>
      <c r="C36" s="8"/>
      <c r="D36" s="8"/>
      <c r="E36" s="8"/>
      <c r="F36" s="8"/>
      <c r="G36" s="8"/>
      <c r="H36" s="8"/>
      <c r="I36" s="8"/>
      <c r="J36" s="8"/>
      <c r="K36" s="8"/>
      <c r="L36" s="8"/>
      <c r="M36" s="8"/>
      <c r="N36" s="8"/>
      <c r="O36" s="8"/>
      <c r="P36" s="8"/>
      <c r="Q36" s="8"/>
      <c r="R36" s="8"/>
      <c r="S36" s="8"/>
      <c r="T36" s="8"/>
      <c r="U36" s="8"/>
      <c r="V36" s="8"/>
      <c r="W36" s="8"/>
      <c r="X36" s="8"/>
      <c r="Y36" s="277"/>
      <c r="Z36" s="8"/>
      <c r="AA36" s="8"/>
      <c r="AB36" s="8"/>
      <c r="AC36" s="279"/>
    </row>
    <row r="37" spans="1:30" s="1" customFormat="1"/>
    <row r="38" spans="1:30" s="1" customFormat="1" ht="16.5" customHeight="1">
      <c r="B38" s="8" t="s">
        <v>563</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242"/>
      <c r="B39" s="241"/>
      <c r="C39" s="7"/>
      <c r="Y39" s="241"/>
      <c r="AC39" s="242"/>
      <c r="AD39" s="241"/>
    </row>
    <row r="40" spans="1:30" s="1" customFormat="1">
      <c r="B40" s="241"/>
      <c r="Y40" s="241"/>
      <c r="Z40" s="400" t="s">
        <v>662</v>
      </c>
      <c r="AA40" s="400" t="s">
        <v>663</v>
      </c>
      <c r="AB40" s="400" t="s">
        <v>664</v>
      </c>
      <c r="AC40" s="242"/>
    </row>
    <row r="41" spans="1:30" s="1" customFormat="1" ht="19.5" customHeight="1">
      <c r="B41" s="241"/>
      <c r="C41" s="1" t="s">
        <v>517</v>
      </c>
      <c r="D41" s="12"/>
      <c r="E41" s="12"/>
      <c r="F41" s="12"/>
      <c r="G41" s="12"/>
      <c r="H41" s="12"/>
      <c r="I41" s="12"/>
      <c r="J41" s="12"/>
      <c r="K41" s="12"/>
      <c r="L41" s="12"/>
      <c r="M41" s="12"/>
      <c r="N41" s="12"/>
      <c r="O41" s="12"/>
      <c r="Y41" s="408"/>
      <c r="Z41" s="403" t="s">
        <v>194</v>
      </c>
      <c r="AA41" s="403" t="s">
        <v>663</v>
      </c>
      <c r="AB41" s="403" t="s">
        <v>194</v>
      </c>
      <c r="AC41" s="242"/>
    </row>
    <row r="42" spans="1:30" s="1" customFormat="1">
      <c r="B42" s="241"/>
      <c r="D42" s="12"/>
      <c r="E42" s="12"/>
      <c r="F42" s="12"/>
      <c r="G42" s="12"/>
      <c r="H42" s="12"/>
      <c r="I42" s="12"/>
      <c r="J42" s="12"/>
      <c r="K42" s="12"/>
      <c r="L42" s="12"/>
      <c r="M42" s="12"/>
      <c r="N42" s="12"/>
      <c r="O42" s="12"/>
      <c r="Y42" s="377"/>
      <c r="Z42" s="367"/>
      <c r="AA42" s="367"/>
      <c r="AB42" s="367"/>
      <c r="AC42" s="242"/>
    </row>
    <row r="43" spans="1:30" s="1" customFormat="1" ht="19.5" customHeight="1">
      <c r="B43" s="241"/>
      <c r="C43" s="1" t="s">
        <v>518</v>
      </c>
      <c r="D43" s="12"/>
      <c r="E43" s="12"/>
      <c r="F43" s="12"/>
      <c r="G43" s="12"/>
      <c r="H43" s="12"/>
      <c r="I43" s="12"/>
      <c r="J43" s="12"/>
      <c r="K43" s="12"/>
      <c r="L43" s="12"/>
      <c r="M43" s="12"/>
      <c r="N43" s="12"/>
      <c r="O43" s="12"/>
      <c r="Y43" s="408"/>
      <c r="Z43" s="403" t="s">
        <v>194</v>
      </c>
      <c r="AA43" s="403" t="s">
        <v>663</v>
      </c>
      <c r="AB43" s="403" t="s">
        <v>194</v>
      </c>
      <c r="AC43" s="242"/>
    </row>
    <row r="44" spans="1:30" s="1" customFormat="1">
      <c r="B44" s="241"/>
      <c r="L44" s="12"/>
      <c r="Q44" s="12"/>
      <c r="W44" s="12"/>
      <c r="Y44" s="241"/>
      <c r="AC44" s="242"/>
    </row>
    <row r="45" spans="1:30" s="1" customFormat="1">
      <c r="B45" s="241"/>
      <c r="C45" s="1" t="s">
        <v>519</v>
      </c>
      <c r="Y45" s="241"/>
      <c r="AC45" s="242"/>
    </row>
    <row r="46" spans="1:30" s="1" customFormat="1" ht="6.75" customHeight="1">
      <c r="B46" s="241"/>
      <c r="Y46" s="241"/>
      <c r="AC46" s="242"/>
    </row>
    <row r="47" spans="1:30" s="1" customFormat="1" ht="23.25" customHeight="1">
      <c r="B47" s="241" t="s">
        <v>174</v>
      </c>
      <c r="C47" s="904" t="s">
        <v>167</v>
      </c>
      <c r="D47" s="905"/>
      <c r="E47" s="905"/>
      <c r="F47" s="905"/>
      <c r="G47" s="905"/>
      <c r="H47" s="906"/>
      <c r="I47" s="904"/>
      <c r="J47" s="905"/>
      <c r="K47" s="905"/>
      <c r="L47" s="905"/>
      <c r="M47" s="905"/>
      <c r="N47" s="905"/>
      <c r="O47" s="905"/>
      <c r="P47" s="905"/>
      <c r="Q47" s="905"/>
      <c r="R47" s="905"/>
      <c r="S47" s="905"/>
      <c r="T47" s="905"/>
      <c r="U47" s="905"/>
      <c r="V47" s="905"/>
      <c r="W47" s="906"/>
      <c r="X47" s="2"/>
      <c r="Y47" s="338"/>
      <c r="Z47" s="2"/>
      <c r="AA47" s="2"/>
      <c r="AB47" s="2"/>
      <c r="AC47" s="242"/>
    </row>
    <row r="48" spans="1:30" s="1" customFormat="1" ht="23.25" customHeight="1">
      <c r="B48" s="241" t="s">
        <v>174</v>
      </c>
      <c r="C48" s="904" t="s">
        <v>175</v>
      </c>
      <c r="D48" s="905"/>
      <c r="E48" s="905"/>
      <c r="F48" s="905"/>
      <c r="G48" s="905"/>
      <c r="H48" s="906"/>
      <c r="I48" s="904"/>
      <c r="J48" s="905"/>
      <c r="K48" s="905"/>
      <c r="L48" s="905"/>
      <c r="M48" s="905"/>
      <c r="N48" s="905"/>
      <c r="O48" s="905"/>
      <c r="P48" s="905"/>
      <c r="Q48" s="905"/>
      <c r="R48" s="905"/>
      <c r="S48" s="905"/>
      <c r="T48" s="905"/>
      <c r="U48" s="905"/>
      <c r="V48" s="905"/>
      <c r="W48" s="906"/>
      <c r="X48" s="2"/>
      <c r="Y48" s="338"/>
      <c r="Z48" s="2"/>
      <c r="AA48" s="2"/>
      <c r="AB48" s="2"/>
      <c r="AC48" s="242"/>
    </row>
    <row r="49" spans="2:29" s="1" customFormat="1" ht="23.25" customHeight="1">
      <c r="B49" s="241" t="s">
        <v>174</v>
      </c>
      <c r="C49" s="904" t="s">
        <v>168</v>
      </c>
      <c r="D49" s="905"/>
      <c r="E49" s="905"/>
      <c r="F49" s="905"/>
      <c r="G49" s="905"/>
      <c r="H49" s="906"/>
      <c r="I49" s="904"/>
      <c r="J49" s="905"/>
      <c r="K49" s="905"/>
      <c r="L49" s="905"/>
      <c r="M49" s="905"/>
      <c r="N49" s="905"/>
      <c r="O49" s="905"/>
      <c r="P49" s="905"/>
      <c r="Q49" s="905"/>
      <c r="R49" s="905"/>
      <c r="S49" s="905"/>
      <c r="T49" s="905"/>
      <c r="U49" s="905"/>
      <c r="V49" s="905"/>
      <c r="W49" s="906"/>
      <c r="X49" s="2"/>
      <c r="Y49" s="338"/>
      <c r="Z49" s="2"/>
      <c r="AA49" s="2"/>
      <c r="AB49" s="2"/>
      <c r="AC49" s="242"/>
    </row>
    <row r="50" spans="2:29" s="1" customFormat="1">
      <c r="B50" s="241"/>
      <c r="C50" s="12"/>
      <c r="D50" s="12"/>
      <c r="E50" s="12"/>
      <c r="F50" s="12"/>
      <c r="G50" s="12"/>
      <c r="H50" s="12"/>
      <c r="I50" s="2"/>
      <c r="J50" s="2"/>
      <c r="K50" s="2"/>
      <c r="L50" s="2"/>
      <c r="M50" s="2"/>
      <c r="N50" s="2"/>
      <c r="O50" s="2"/>
      <c r="P50" s="2"/>
      <c r="Q50" s="2"/>
      <c r="R50" s="2"/>
      <c r="S50" s="2"/>
      <c r="T50" s="2"/>
      <c r="U50" s="2"/>
      <c r="V50" s="2"/>
      <c r="W50" s="2"/>
      <c r="X50" s="2"/>
      <c r="Y50" s="338"/>
      <c r="Z50" s="2"/>
      <c r="AA50" s="2"/>
      <c r="AB50" s="2"/>
      <c r="AC50" s="242"/>
    </row>
    <row r="51" spans="2:29" s="1" customFormat="1" ht="27" customHeight="1">
      <c r="B51" s="241"/>
      <c r="C51" s="921" t="s">
        <v>861</v>
      </c>
      <c r="D51" s="921"/>
      <c r="E51" s="921"/>
      <c r="F51" s="921"/>
      <c r="G51" s="921"/>
      <c r="H51" s="921"/>
      <c r="I51" s="921"/>
      <c r="J51" s="921"/>
      <c r="K51" s="921"/>
      <c r="L51" s="921"/>
      <c r="M51" s="921"/>
      <c r="N51" s="921"/>
      <c r="O51" s="921"/>
      <c r="P51" s="921"/>
      <c r="Q51" s="921"/>
      <c r="R51" s="921"/>
      <c r="S51" s="921"/>
      <c r="T51" s="921"/>
      <c r="U51" s="921"/>
      <c r="V51" s="921"/>
      <c r="W51" s="921"/>
      <c r="X51" s="921"/>
      <c r="Y51" s="425"/>
      <c r="Z51" s="400" t="s">
        <v>662</v>
      </c>
      <c r="AA51" s="400" t="s">
        <v>663</v>
      </c>
      <c r="AB51" s="400" t="s">
        <v>664</v>
      </c>
      <c r="AC51" s="242"/>
    </row>
    <row r="52" spans="2:29" s="1" customFormat="1" ht="6" customHeight="1">
      <c r="B52" s="241"/>
      <c r="C52" s="12"/>
      <c r="D52" s="12"/>
      <c r="E52" s="12"/>
      <c r="F52" s="12"/>
      <c r="G52" s="12"/>
      <c r="H52" s="12"/>
      <c r="I52" s="12"/>
      <c r="J52" s="12"/>
      <c r="K52" s="12"/>
      <c r="L52" s="12"/>
      <c r="M52" s="12"/>
      <c r="N52" s="12"/>
      <c r="O52" s="12"/>
      <c r="Y52" s="241"/>
      <c r="AC52" s="242"/>
    </row>
    <row r="53" spans="2:29" s="1" customFormat="1" ht="19.5" customHeight="1">
      <c r="B53" s="241"/>
      <c r="D53" s="1" t="s">
        <v>520</v>
      </c>
      <c r="E53" s="12"/>
      <c r="F53" s="12"/>
      <c r="G53" s="12"/>
      <c r="H53" s="12"/>
      <c r="I53" s="12"/>
      <c r="J53" s="12"/>
      <c r="K53" s="12"/>
      <c r="L53" s="12"/>
      <c r="M53" s="12"/>
      <c r="N53" s="12"/>
      <c r="O53" s="12"/>
      <c r="Y53" s="408"/>
      <c r="Z53" s="403" t="s">
        <v>194</v>
      </c>
      <c r="AA53" s="403" t="s">
        <v>663</v>
      </c>
      <c r="AB53" s="403" t="s">
        <v>194</v>
      </c>
      <c r="AC53" s="242"/>
    </row>
    <row r="54" spans="2:29" s="1" customFormat="1" ht="6.75" customHeight="1">
      <c r="B54" s="241"/>
      <c r="Y54" s="241"/>
      <c r="AC54" s="242"/>
    </row>
    <row r="55" spans="2:29" s="2" customFormat="1" ht="18" customHeight="1">
      <c r="B55" s="362"/>
      <c r="D55" s="2" t="s">
        <v>521</v>
      </c>
      <c r="Y55" s="408"/>
      <c r="Z55" s="403" t="s">
        <v>194</v>
      </c>
      <c r="AA55" s="403" t="s">
        <v>663</v>
      </c>
      <c r="AB55" s="403" t="s">
        <v>194</v>
      </c>
      <c r="AC55" s="385"/>
    </row>
    <row r="56" spans="2:29" s="1" customFormat="1" ht="6.75" customHeight="1">
      <c r="B56" s="241"/>
      <c r="Y56" s="241"/>
      <c r="AC56" s="242"/>
    </row>
    <row r="57" spans="2:29" s="2" customFormat="1" ht="18" customHeight="1">
      <c r="B57" s="362"/>
      <c r="D57" s="2" t="s">
        <v>564</v>
      </c>
      <c r="Y57" s="408"/>
      <c r="Z57" s="403" t="s">
        <v>194</v>
      </c>
      <c r="AA57" s="403" t="s">
        <v>663</v>
      </c>
      <c r="AB57" s="403" t="s">
        <v>194</v>
      </c>
      <c r="AC57" s="385"/>
    </row>
    <row r="58" spans="2:29" s="1" customFormat="1" ht="6.75" customHeight="1">
      <c r="B58" s="241"/>
      <c r="Y58" s="241"/>
      <c r="AC58" s="242"/>
    </row>
    <row r="59" spans="2:29" s="2" customFormat="1" ht="18" customHeight="1">
      <c r="B59" s="362"/>
      <c r="D59" s="2" t="s">
        <v>565</v>
      </c>
      <c r="Y59" s="408"/>
      <c r="Z59" s="403" t="s">
        <v>194</v>
      </c>
      <c r="AA59" s="403" t="s">
        <v>663</v>
      </c>
      <c r="AB59" s="403" t="s">
        <v>194</v>
      </c>
      <c r="AC59" s="385"/>
    </row>
    <row r="60" spans="2:29" s="1" customFormat="1" ht="6.75" customHeight="1">
      <c r="B60" s="241"/>
      <c r="Y60" s="241"/>
      <c r="AC60" s="242"/>
    </row>
    <row r="61" spans="2:29" ht="18" customHeight="1">
      <c r="B61" s="243"/>
      <c r="D61" s="2" t="s">
        <v>566</v>
      </c>
      <c r="Y61" s="408"/>
      <c r="Z61" s="403" t="s">
        <v>194</v>
      </c>
      <c r="AA61" s="403" t="s">
        <v>663</v>
      </c>
      <c r="AB61" s="403" t="s">
        <v>194</v>
      </c>
      <c r="AC61" s="233"/>
    </row>
    <row r="62" spans="2:29">
      <c r="B62" s="243"/>
      <c r="Y62" s="300"/>
      <c r="AC62" s="233"/>
    </row>
    <row r="63" spans="2:29" ht="27" customHeight="1">
      <c r="B63" s="243"/>
      <c r="C63" s="921" t="s">
        <v>526</v>
      </c>
      <c r="D63" s="921"/>
      <c r="E63" s="921"/>
      <c r="F63" s="921"/>
      <c r="G63" s="921"/>
      <c r="H63" s="921"/>
      <c r="I63" s="921"/>
      <c r="J63" s="921"/>
      <c r="K63" s="921"/>
      <c r="L63" s="921"/>
      <c r="M63" s="921"/>
      <c r="N63" s="921"/>
      <c r="O63" s="921"/>
      <c r="P63" s="921"/>
      <c r="Q63" s="921"/>
      <c r="R63" s="921"/>
      <c r="S63" s="921"/>
      <c r="T63" s="921"/>
      <c r="U63" s="921"/>
      <c r="V63" s="921"/>
      <c r="W63" s="921"/>
      <c r="X63" s="921"/>
      <c r="Y63" s="408"/>
      <c r="Z63" s="403" t="s">
        <v>194</v>
      </c>
      <c r="AA63" s="403" t="s">
        <v>663</v>
      </c>
      <c r="AB63" s="403" t="s">
        <v>194</v>
      </c>
      <c r="AC63" s="233"/>
    </row>
    <row r="64" spans="2:29">
      <c r="B64" s="243"/>
      <c r="Y64" s="299"/>
      <c r="Z64" s="59"/>
      <c r="AA64" s="59"/>
      <c r="AB64" s="59"/>
      <c r="AC64" s="60"/>
    </row>
    <row r="65" spans="2:29" s="2" customFormat="1">
      <c r="B65" s="295" t="s">
        <v>567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244" t="s">
        <v>568</v>
      </c>
    </row>
    <row r="67" spans="2:29" s="2" customFormat="1">
      <c r="B67" s="244" t="s">
        <v>569</v>
      </c>
    </row>
    <row r="68" spans="2:29" s="2" customFormat="1">
      <c r="B68" s="244" t="s">
        <v>570</v>
      </c>
    </row>
    <row r="69" spans="2:29" s="244" customFormat="1" ht="10.8">
      <c r="B69" s="296" t="s">
        <v>571</v>
      </c>
      <c r="C69" s="244" t="s">
        <v>572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3"/>
  <dataValidations count="1">
    <dataValidation type="list" allowBlank="1" showInputMessage="1" showErrorMessage="1" sqref="G7:G9 L7 Q7:Q8 Z25 AB25 Z33 AB33 Z35 AB35 Z41 AB41 Z43 AB43 Z53 AB53 Z55 AB55 Z57 AB57 Z59 AB59 Z61 AB61 Z63 AB63" xr:uid="{8134BCA6-8979-4905-88B3-95FA491DAAAF}">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DA447-D5F6-440E-B065-AE57F0473174}">
  <sheetPr>
    <tabColor rgb="FFFFFF00"/>
    <pageSetUpPr fitToPage="1"/>
  </sheetPr>
  <dimension ref="A1:AK78"/>
  <sheetViews>
    <sheetView view="pageBreakPreview" zoomScaleNormal="100" zoomScaleSheetLayoutView="100" workbookViewId="0">
      <selection activeCell="B4" sqref="B4:AA4"/>
    </sheetView>
  </sheetViews>
  <sheetFormatPr defaultColWidth="3.44140625" defaultRowHeight="13.2"/>
  <cols>
    <col min="1" max="1" width="3.44140625" style="3"/>
    <col min="2" max="2" width="3" style="384" customWidth="1"/>
    <col min="3" max="7" width="3.44140625" style="3"/>
    <col min="8" max="8" width="2.44140625" style="3" customWidth="1"/>
    <col min="9" max="16384" width="3.44140625" style="3"/>
  </cols>
  <sheetData>
    <row r="1" spans="2:27" s="1" customFormat="1"/>
    <row r="2" spans="2:27" s="1" customFormat="1">
      <c r="B2" s="1" t="s">
        <v>952</v>
      </c>
      <c r="AA2" s="45" t="s">
        <v>514</v>
      </c>
    </row>
    <row r="3" spans="2:27" s="1" customFormat="1" ht="8.25" customHeight="1"/>
    <row r="4" spans="2:27" s="1" customFormat="1">
      <c r="B4" s="899" t="s">
        <v>953</v>
      </c>
      <c r="C4" s="899"/>
      <c r="D4" s="899"/>
      <c r="E4" s="899"/>
      <c r="F4" s="899"/>
      <c r="G4" s="899"/>
      <c r="H4" s="899"/>
      <c r="I4" s="899"/>
      <c r="J4" s="899"/>
      <c r="K4" s="899"/>
      <c r="L4" s="899"/>
      <c r="M4" s="899"/>
      <c r="N4" s="899"/>
      <c r="O4" s="899"/>
      <c r="P4" s="899"/>
      <c r="Q4" s="899"/>
      <c r="R4" s="899"/>
      <c r="S4" s="899"/>
      <c r="T4" s="899"/>
      <c r="U4" s="899"/>
      <c r="V4" s="899"/>
      <c r="W4" s="899"/>
      <c r="X4" s="899"/>
      <c r="Y4" s="899"/>
      <c r="Z4" s="899"/>
      <c r="AA4" s="899"/>
    </row>
    <row r="5" spans="2:27" s="1" customFormat="1" ht="6.75" customHeight="1"/>
    <row r="6" spans="2:27" s="1" customFormat="1" ht="18.600000000000001" customHeight="1">
      <c r="B6" s="1161" t="s">
        <v>55</v>
      </c>
      <c r="C6" s="1161"/>
      <c r="D6" s="1161"/>
      <c r="E6" s="1161"/>
      <c r="F6" s="1161"/>
      <c r="G6" s="904"/>
      <c r="H6" s="905"/>
      <c r="I6" s="905"/>
      <c r="J6" s="905"/>
      <c r="K6" s="905"/>
      <c r="L6" s="905"/>
      <c r="M6" s="905"/>
      <c r="N6" s="905"/>
      <c r="O6" s="905"/>
      <c r="P6" s="905"/>
      <c r="Q6" s="905"/>
      <c r="R6" s="905"/>
      <c r="S6" s="905"/>
      <c r="T6" s="905"/>
      <c r="U6" s="905"/>
      <c r="V6" s="905"/>
      <c r="W6" s="905"/>
      <c r="X6" s="905"/>
      <c r="Y6" s="905"/>
      <c r="Z6" s="905"/>
      <c r="AA6" s="906"/>
    </row>
    <row r="7" spans="2:27" s="1" customFormat="1" ht="19.5" customHeight="1">
      <c r="B7" s="1161" t="s">
        <v>145</v>
      </c>
      <c r="C7" s="1161"/>
      <c r="D7" s="1161"/>
      <c r="E7" s="1161"/>
      <c r="F7" s="1161"/>
      <c r="G7" s="904"/>
      <c r="H7" s="905"/>
      <c r="I7" s="905"/>
      <c r="J7" s="905"/>
      <c r="K7" s="905"/>
      <c r="L7" s="905"/>
      <c r="M7" s="905"/>
      <c r="N7" s="905"/>
      <c r="O7" s="905"/>
      <c r="P7" s="905"/>
      <c r="Q7" s="905"/>
      <c r="R7" s="905"/>
      <c r="S7" s="905"/>
      <c r="T7" s="905"/>
      <c r="U7" s="905"/>
      <c r="V7" s="905"/>
      <c r="W7" s="905"/>
      <c r="X7" s="905"/>
      <c r="Y7" s="905"/>
      <c r="Z7" s="905"/>
      <c r="AA7" s="906"/>
    </row>
    <row r="8" spans="2:27" s="1" customFormat="1" ht="19.5" customHeight="1">
      <c r="B8" s="904" t="s">
        <v>63</v>
      </c>
      <c r="C8" s="905"/>
      <c r="D8" s="905"/>
      <c r="E8" s="905"/>
      <c r="F8" s="906"/>
      <c r="G8" s="1178" t="s">
        <v>516</v>
      </c>
      <c r="H8" s="1179"/>
      <c r="I8" s="1179"/>
      <c r="J8" s="1179"/>
      <c r="K8" s="1179"/>
      <c r="L8" s="1179"/>
      <c r="M8" s="1179"/>
      <c r="N8" s="1179"/>
      <c r="O8" s="1179"/>
      <c r="P8" s="1179"/>
      <c r="Q8" s="1179"/>
      <c r="R8" s="1179"/>
      <c r="S8" s="1179"/>
      <c r="T8" s="1179"/>
      <c r="U8" s="1179"/>
      <c r="V8" s="1179"/>
      <c r="W8" s="1179"/>
      <c r="X8" s="1179"/>
      <c r="Y8" s="1179"/>
      <c r="Z8" s="1179"/>
      <c r="AA8" s="1180"/>
    </row>
    <row r="9" spans="2:27" ht="20.100000000000001" customHeight="1">
      <c r="B9" s="1038" t="s">
        <v>94</v>
      </c>
      <c r="C9" s="1039"/>
      <c r="D9" s="1039"/>
      <c r="E9" s="1039"/>
      <c r="F9" s="1039"/>
      <c r="G9" s="1202" t="s">
        <v>954</v>
      </c>
      <c r="H9" s="1202"/>
      <c r="I9" s="1202"/>
      <c r="J9" s="1202"/>
      <c r="K9" s="1202"/>
      <c r="L9" s="1202"/>
      <c r="M9" s="1202"/>
      <c r="N9" s="1202" t="s">
        <v>955</v>
      </c>
      <c r="O9" s="1202"/>
      <c r="P9" s="1202"/>
      <c r="Q9" s="1202"/>
      <c r="R9" s="1202"/>
      <c r="S9" s="1202"/>
      <c r="T9" s="1202"/>
      <c r="U9" s="1202" t="s">
        <v>956</v>
      </c>
      <c r="V9" s="1202"/>
      <c r="W9" s="1202"/>
      <c r="X9" s="1202"/>
      <c r="Y9" s="1202"/>
      <c r="Z9" s="1202"/>
      <c r="AA9" s="1202"/>
    </row>
    <row r="10" spans="2:27" ht="20.100000000000001" customHeight="1">
      <c r="B10" s="1041"/>
      <c r="C10" s="899"/>
      <c r="D10" s="899"/>
      <c r="E10" s="899"/>
      <c r="F10" s="899"/>
      <c r="G10" s="1202" t="s">
        <v>957</v>
      </c>
      <c r="H10" s="1202"/>
      <c r="I10" s="1202"/>
      <c r="J10" s="1202"/>
      <c r="K10" s="1202"/>
      <c r="L10" s="1202"/>
      <c r="M10" s="1202"/>
      <c r="N10" s="1202" t="s">
        <v>958</v>
      </c>
      <c r="O10" s="1202"/>
      <c r="P10" s="1202"/>
      <c r="Q10" s="1202"/>
      <c r="R10" s="1202"/>
      <c r="S10" s="1202"/>
      <c r="T10" s="1202"/>
      <c r="U10" s="1202" t="s">
        <v>959</v>
      </c>
      <c r="V10" s="1202"/>
      <c r="W10" s="1202"/>
      <c r="X10" s="1202"/>
      <c r="Y10" s="1202"/>
      <c r="Z10" s="1202"/>
      <c r="AA10" s="1202"/>
    </row>
    <row r="11" spans="2:27" ht="20.100000000000001" customHeight="1">
      <c r="B11" s="1041"/>
      <c r="C11" s="899"/>
      <c r="D11" s="899"/>
      <c r="E11" s="899"/>
      <c r="F11" s="899"/>
      <c r="G11" s="1202" t="s">
        <v>960</v>
      </c>
      <c r="H11" s="1202"/>
      <c r="I11" s="1202"/>
      <c r="J11" s="1202"/>
      <c r="K11" s="1202"/>
      <c r="L11" s="1202"/>
      <c r="M11" s="1202"/>
      <c r="N11" s="1202" t="s">
        <v>961</v>
      </c>
      <c r="O11" s="1202"/>
      <c r="P11" s="1202"/>
      <c r="Q11" s="1202"/>
      <c r="R11" s="1202"/>
      <c r="S11" s="1202"/>
      <c r="T11" s="1202"/>
      <c r="U11" s="1202" t="s">
        <v>962</v>
      </c>
      <c r="V11" s="1202"/>
      <c r="W11" s="1202"/>
      <c r="X11" s="1202"/>
      <c r="Y11" s="1202"/>
      <c r="Z11" s="1202"/>
      <c r="AA11" s="1202"/>
    </row>
    <row r="12" spans="2:27" ht="20.100000000000001" customHeight="1">
      <c r="B12" s="1041"/>
      <c r="C12" s="899"/>
      <c r="D12" s="899"/>
      <c r="E12" s="899"/>
      <c r="F12" s="899"/>
      <c r="G12" s="1202" t="s">
        <v>963</v>
      </c>
      <c r="H12" s="1202"/>
      <c r="I12" s="1202"/>
      <c r="J12" s="1202"/>
      <c r="K12" s="1202"/>
      <c r="L12" s="1202"/>
      <c r="M12" s="1202"/>
      <c r="N12" s="1202" t="s">
        <v>964</v>
      </c>
      <c r="O12" s="1202"/>
      <c r="P12" s="1202"/>
      <c r="Q12" s="1202"/>
      <c r="R12" s="1202"/>
      <c r="S12" s="1202"/>
      <c r="T12" s="1202"/>
      <c r="U12" s="1203" t="s">
        <v>965</v>
      </c>
      <c r="V12" s="1203"/>
      <c r="W12" s="1203"/>
      <c r="X12" s="1203"/>
      <c r="Y12" s="1203"/>
      <c r="Z12" s="1203"/>
      <c r="AA12" s="1203"/>
    </row>
    <row r="13" spans="2:27" ht="20.100000000000001" customHeight="1">
      <c r="B13" s="1041"/>
      <c r="C13" s="899"/>
      <c r="D13" s="899"/>
      <c r="E13" s="899"/>
      <c r="F13" s="899"/>
      <c r="G13" s="1202" t="s">
        <v>966</v>
      </c>
      <c r="H13" s="1202"/>
      <c r="I13" s="1202"/>
      <c r="J13" s="1202"/>
      <c r="K13" s="1202"/>
      <c r="L13" s="1202"/>
      <c r="M13" s="1202"/>
      <c r="N13" s="1202" t="s">
        <v>967</v>
      </c>
      <c r="O13" s="1202"/>
      <c r="P13" s="1202"/>
      <c r="Q13" s="1202"/>
      <c r="R13" s="1202"/>
      <c r="S13" s="1202"/>
      <c r="T13" s="1202"/>
      <c r="U13" s="1203" t="s">
        <v>968</v>
      </c>
      <c r="V13" s="1203"/>
      <c r="W13" s="1203"/>
      <c r="X13" s="1203"/>
      <c r="Y13" s="1203"/>
      <c r="Z13" s="1203"/>
      <c r="AA13" s="1203"/>
    </row>
    <row r="14" spans="2:27" ht="20.100000000000001" customHeight="1">
      <c r="B14" s="1158"/>
      <c r="C14" s="1159"/>
      <c r="D14" s="1159"/>
      <c r="E14" s="1159"/>
      <c r="F14" s="1159"/>
      <c r="G14" s="1202" t="s">
        <v>969</v>
      </c>
      <c r="H14" s="1202"/>
      <c r="I14" s="1202"/>
      <c r="J14" s="1202"/>
      <c r="K14" s="1202"/>
      <c r="L14" s="1202"/>
      <c r="M14" s="1202"/>
      <c r="N14" s="1202"/>
      <c r="O14" s="1202"/>
      <c r="P14" s="1202"/>
      <c r="Q14" s="1202"/>
      <c r="R14" s="1202"/>
      <c r="S14" s="1202"/>
      <c r="T14" s="1202"/>
      <c r="U14" s="1203"/>
      <c r="V14" s="1203"/>
      <c r="W14" s="1203"/>
      <c r="X14" s="1203"/>
      <c r="Y14" s="1203"/>
      <c r="Z14" s="1203"/>
      <c r="AA14" s="1203"/>
    </row>
    <row r="15" spans="2:27" ht="20.25" customHeight="1">
      <c r="B15" s="904" t="s">
        <v>970</v>
      </c>
      <c r="C15" s="905"/>
      <c r="D15" s="905"/>
      <c r="E15" s="905"/>
      <c r="F15" s="906"/>
      <c r="G15" s="1184" t="s">
        <v>971</v>
      </c>
      <c r="H15" s="1185"/>
      <c r="I15" s="1185"/>
      <c r="J15" s="1185"/>
      <c r="K15" s="1185"/>
      <c r="L15" s="1185"/>
      <c r="M15" s="1185"/>
      <c r="N15" s="1185"/>
      <c r="O15" s="1185"/>
      <c r="P15" s="1185"/>
      <c r="Q15" s="1185"/>
      <c r="R15" s="1185"/>
      <c r="S15" s="1185"/>
      <c r="T15" s="1185"/>
      <c r="U15" s="1185"/>
      <c r="V15" s="1185"/>
      <c r="W15" s="1185"/>
      <c r="X15" s="1185"/>
      <c r="Y15" s="1185"/>
      <c r="Z15" s="1185"/>
      <c r="AA15" s="1186"/>
    </row>
    <row r="16" spans="2:27" s="1" customFormat="1" ht="9" customHeight="1"/>
    <row r="17" spans="2:27" s="1" customFormat="1" ht="17.25" customHeight="1">
      <c r="B17" s="1" t="s">
        <v>972</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241"/>
      <c r="C19" s="1" t="s">
        <v>973</v>
      </c>
      <c r="D19" s="12"/>
      <c r="E19" s="12"/>
      <c r="F19" s="12"/>
      <c r="G19" s="12"/>
      <c r="H19" s="12"/>
      <c r="I19" s="12"/>
      <c r="J19" s="12"/>
      <c r="K19" s="12"/>
      <c r="L19" s="12"/>
      <c r="M19" s="12"/>
      <c r="N19" s="12"/>
      <c r="O19" s="12"/>
      <c r="Y19" s="1201" t="s">
        <v>114</v>
      </c>
      <c r="Z19" s="1201"/>
      <c r="AA19" s="242"/>
    </row>
    <row r="20" spans="2:27" s="1" customFormat="1">
      <c r="B20" s="241"/>
      <c r="D20" s="12"/>
      <c r="E20" s="12"/>
      <c r="F20" s="12"/>
      <c r="G20" s="12"/>
      <c r="H20" s="12"/>
      <c r="I20" s="12"/>
      <c r="J20" s="12"/>
      <c r="K20" s="12"/>
      <c r="L20" s="12"/>
      <c r="M20" s="12"/>
      <c r="N20" s="12"/>
      <c r="O20" s="12"/>
      <c r="Y20" s="367"/>
      <c r="Z20" s="367"/>
      <c r="AA20" s="242"/>
    </row>
    <row r="21" spans="2:27" s="1" customFormat="1">
      <c r="B21" s="241"/>
      <c r="C21" s="1" t="s">
        <v>974</v>
      </c>
      <c r="D21" s="12"/>
      <c r="E21" s="12"/>
      <c r="F21" s="12"/>
      <c r="G21" s="12"/>
      <c r="H21" s="12"/>
      <c r="I21" s="12"/>
      <c r="J21" s="12"/>
      <c r="K21" s="12"/>
      <c r="L21" s="12"/>
      <c r="M21" s="12"/>
      <c r="N21" s="12"/>
      <c r="O21" s="12"/>
      <c r="Y21" s="367"/>
      <c r="Z21" s="367"/>
      <c r="AA21" s="242"/>
    </row>
    <row r="22" spans="2:27" s="1" customFormat="1" ht="19.5" customHeight="1">
      <c r="B22" s="241"/>
      <c r="C22" s="1" t="s">
        <v>975</v>
      </c>
      <c r="D22" s="12"/>
      <c r="E22" s="12"/>
      <c r="F22" s="12"/>
      <c r="G22" s="12"/>
      <c r="H22" s="12"/>
      <c r="I22" s="12"/>
      <c r="J22" s="12"/>
      <c r="K22" s="12"/>
      <c r="L22" s="12"/>
      <c r="M22" s="12"/>
      <c r="N22" s="12"/>
      <c r="O22" s="12"/>
      <c r="Y22" s="1201" t="s">
        <v>114</v>
      </c>
      <c r="Z22" s="1201"/>
      <c r="AA22" s="242"/>
    </row>
    <row r="23" spans="2:27" s="1" customFormat="1" ht="19.5" customHeight="1">
      <c r="B23" s="241"/>
      <c r="C23" s="1" t="s">
        <v>976</v>
      </c>
      <c r="D23" s="12"/>
      <c r="E23" s="12"/>
      <c r="F23" s="12"/>
      <c r="G23" s="12"/>
      <c r="H23" s="12"/>
      <c r="I23" s="12"/>
      <c r="J23" s="12"/>
      <c r="K23" s="12"/>
      <c r="L23" s="12"/>
      <c r="M23" s="12"/>
      <c r="N23" s="12"/>
      <c r="O23" s="12"/>
      <c r="Y23" s="1201" t="s">
        <v>114</v>
      </c>
      <c r="Z23" s="1201"/>
      <c r="AA23" s="242"/>
    </row>
    <row r="24" spans="2:27" s="1" customFormat="1" ht="19.5" customHeight="1">
      <c r="B24" s="241"/>
      <c r="C24" s="1" t="s">
        <v>977</v>
      </c>
      <c r="D24" s="12"/>
      <c r="E24" s="12"/>
      <c r="F24" s="12"/>
      <c r="G24" s="12"/>
      <c r="H24" s="12"/>
      <c r="I24" s="12"/>
      <c r="J24" s="12"/>
      <c r="K24" s="12"/>
      <c r="L24" s="12"/>
      <c r="M24" s="12"/>
      <c r="N24" s="12"/>
      <c r="O24" s="12"/>
      <c r="Y24" s="1201" t="s">
        <v>114</v>
      </c>
      <c r="Z24" s="1201"/>
      <c r="AA24" s="242"/>
    </row>
    <row r="25" spans="2:27" s="1" customFormat="1" ht="19.5" customHeight="1">
      <c r="B25" s="241"/>
      <c r="D25" s="1182" t="s">
        <v>978</v>
      </c>
      <c r="E25" s="1182"/>
      <c r="F25" s="1182"/>
      <c r="G25" s="1182"/>
      <c r="H25" s="1182"/>
      <c r="I25" s="1182"/>
      <c r="J25" s="1182"/>
      <c r="K25" s="12"/>
      <c r="L25" s="12"/>
      <c r="M25" s="12"/>
      <c r="N25" s="12"/>
      <c r="O25" s="12"/>
      <c r="Y25" s="367"/>
      <c r="Z25" s="367"/>
      <c r="AA25" s="242"/>
    </row>
    <row r="26" spans="2:27" s="1" customFormat="1" ht="24.9" customHeight="1">
      <c r="B26" s="241"/>
      <c r="C26" s="1" t="s">
        <v>979</v>
      </c>
      <c r="AA26" s="242"/>
    </row>
    <row r="27" spans="2:27" s="1" customFormat="1" ht="6.75" customHeight="1">
      <c r="B27" s="241"/>
      <c r="AA27" s="242"/>
    </row>
    <row r="28" spans="2:27" s="1" customFormat="1" ht="23.25" customHeight="1">
      <c r="B28" s="241" t="s">
        <v>174</v>
      </c>
      <c r="C28" s="904" t="s">
        <v>167</v>
      </c>
      <c r="D28" s="905"/>
      <c r="E28" s="905"/>
      <c r="F28" s="905"/>
      <c r="G28" s="905"/>
      <c r="H28" s="906"/>
      <c r="I28" s="1205"/>
      <c r="J28" s="1205"/>
      <c r="K28" s="1205"/>
      <c r="L28" s="1205"/>
      <c r="M28" s="1205"/>
      <c r="N28" s="1205"/>
      <c r="O28" s="1205"/>
      <c r="P28" s="1205"/>
      <c r="Q28" s="1205"/>
      <c r="R28" s="1205"/>
      <c r="S28" s="1205"/>
      <c r="T28" s="1205"/>
      <c r="U28" s="1205"/>
      <c r="V28" s="1205"/>
      <c r="W28" s="1205"/>
      <c r="X28" s="1205"/>
      <c r="Y28" s="1205"/>
      <c r="Z28" s="1206"/>
      <c r="AA28" s="242"/>
    </row>
    <row r="29" spans="2:27" s="1" customFormat="1" ht="23.25" customHeight="1">
      <c r="B29" s="241" t="s">
        <v>174</v>
      </c>
      <c r="C29" s="904" t="s">
        <v>175</v>
      </c>
      <c r="D29" s="905"/>
      <c r="E29" s="905"/>
      <c r="F29" s="905"/>
      <c r="G29" s="905"/>
      <c r="H29" s="906"/>
      <c r="I29" s="1205"/>
      <c r="J29" s="1205"/>
      <c r="K29" s="1205"/>
      <c r="L29" s="1205"/>
      <c r="M29" s="1205"/>
      <c r="N29" s="1205"/>
      <c r="O29" s="1205"/>
      <c r="P29" s="1205"/>
      <c r="Q29" s="1205"/>
      <c r="R29" s="1205"/>
      <c r="S29" s="1205"/>
      <c r="T29" s="1205"/>
      <c r="U29" s="1205"/>
      <c r="V29" s="1205"/>
      <c r="W29" s="1205"/>
      <c r="X29" s="1205"/>
      <c r="Y29" s="1205"/>
      <c r="Z29" s="1206"/>
      <c r="AA29" s="242"/>
    </row>
    <row r="30" spans="2:27" s="1" customFormat="1" ht="23.25" customHeight="1">
      <c r="B30" s="241" t="s">
        <v>174</v>
      </c>
      <c r="C30" s="904" t="s">
        <v>168</v>
      </c>
      <c r="D30" s="905"/>
      <c r="E30" s="905"/>
      <c r="F30" s="905"/>
      <c r="G30" s="905"/>
      <c r="H30" s="906"/>
      <c r="I30" s="1205"/>
      <c r="J30" s="1205"/>
      <c r="K30" s="1205"/>
      <c r="L30" s="1205"/>
      <c r="M30" s="1205"/>
      <c r="N30" s="1205"/>
      <c r="O30" s="1205"/>
      <c r="P30" s="1205"/>
      <c r="Q30" s="1205"/>
      <c r="R30" s="1205"/>
      <c r="S30" s="1205"/>
      <c r="T30" s="1205"/>
      <c r="U30" s="1205"/>
      <c r="V30" s="1205"/>
      <c r="W30" s="1205"/>
      <c r="X30" s="1205"/>
      <c r="Y30" s="1205"/>
      <c r="Z30" s="1206"/>
      <c r="AA30" s="242"/>
    </row>
    <row r="31" spans="2:27" s="1" customFormat="1" ht="9" customHeight="1">
      <c r="B31" s="241"/>
      <c r="C31" s="12"/>
      <c r="D31" s="12"/>
      <c r="E31" s="12"/>
      <c r="F31" s="12"/>
      <c r="G31" s="12"/>
      <c r="H31" s="12"/>
      <c r="I31" s="2"/>
      <c r="J31" s="2"/>
      <c r="K31" s="2"/>
      <c r="L31" s="2"/>
      <c r="M31" s="2"/>
      <c r="N31" s="2"/>
      <c r="O31" s="2"/>
      <c r="P31" s="2"/>
      <c r="Q31" s="2"/>
      <c r="R31" s="2"/>
      <c r="S31" s="2"/>
      <c r="T31" s="2"/>
      <c r="U31" s="2"/>
      <c r="V31" s="2"/>
      <c r="W31" s="2"/>
      <c r="X31" s="2"/>
      <c r="Y31" s="2"/>
      <c r="Z31" s="2"/>
      <c r="AA31" s="242"/>
    </row>
    <row r="32" spans="2:27" s="1" customFormat="1" ht="19.5" customHeight="1">
      <c r="B32" s="241"/>
      <c r="C32" s="1" t="s">
        <v>980</v>
      </c>
      <c r="D32" s="12"/>
      <c r="E32" s="12"/>
      <c r="F32" s="12"/>
      <c r="G32" s="12"/>
      <c r="H32" s="12"/>
      <c r="I32" s="12"/>
      <c r="J32" s="12"/>
      <c r="K32" s="12"/>
      <c r="L32" s="12"/>
      <c r="M32" s="12"/>
      <c r="N32" s="12"/>
      <c r="O32" s="12"/>
      <c r="Y32" s="1201" t="s">
        <v>114</v>
      </c>
      <c r="Z32" s="1201"/>
      <c r="AA32" s="242"/>
    </row>
    <row r="33" spans="1:37" s="1" customFormat="1" ht="12.75" customHeight="1">
      <c r="B33" s="241"/>
      <c r="D33" s="12"/>
      <c r="E33" s="12"/>
      <c r="F33" s="12"/>
      <c r="G33" s="12"/>
      <c r="H33" s="12"/>
      <c r="I33" s="12"/>
      <c r="J33" s="12"/>
      <c r="K33" s="12"/>
      <c r="L33" s="12"/>
      <c r="M33" s="12"/>
      <c r="N33" s="12"/>
      <c r="O33" s="12"/>
      <c r="Y33" s="367"/>
      <c r="Z33" s="367"/>
      <c r="AA33" s="242"/>
    </row>
    <row r="34" spans="1:37" s="1" customFormat="1" ht="19.5" customHeight="1">
      <c r="B34" s="241"/>
      <c r="C34" s="1204" t="s">
        <v>981</v>
      </c>
      <c r="D34" s="1204"/>
      <c r="E34" s="1204"/>
      <c r="F34" s="1204"/>
      <c r="G34" s="1204"/>
      <c r="H34" s="1204"/>
      <c r="I34" s="1204"/>
      <c r="J34" s="1204"/>
      <c r="K34" s="1204"/>
      <c r="L34" s="1204"/>
      <c r="M34" s="1204"/>
      <c r="N34" s="1204"/>
      <c r="O34" s="1204"/>
      <c r="P34" s="1204"/>
      <c r="Q34" s="1204"/>
      <c r="R34" s="1204"/>
      <c r="S34" s="1204"/>
      <c r="T34" s="1204"/>
      <c r="U34" s="1204"/>
      <c r="V34" s="1204"/>
      <c r="W34" s="1204"/>
      <c r="X34" s="1204"/>
      <c r="Y34" s="1204"/>
      <c r="Z34" s="1204"/>
      <c r="AA34" s="242"/>
    </row>
    <row r="35" spans="1:37" s="1" customFormat="1" ht="19.5" customHeight="1">
      <c r="B35" s="241"/>
      <c r="C35" s="1204" t="s">
        <v>982</v>
      </c>
      <c r="D35" s="1204"/>
      <c r="E35" s="1204"/>
      <c r="F35" s="1204"/>
      <c r="G35" s="1204"/>
      <c r="H35" s="1204"/>
      <c r="I35" s="1204"/>
      <c r="J35" s="1204"/>
      <c r="K35" s="1204"/>
      <c r="L35" s="1204"/>
      <c r="M35" s="1204"/>
      <c r="N35" s="1204"/>
      <c r="O35" s="1204"/>
      <c r="P35" s="1204"/>
      <c r="Q35" s="1204"/>
      <c r="R35" s="1204"/>
      <c r="S35" s="1204"/>
      <c r="T35" s="1204"/>
      <c r="U35" s="1204"/>
      <c r="V35" s="1204"/>
      <c r="W35" s="1204"/>
      <c r="X35" s="1204"/>
      <c r="Y35" s="1204"/>
      <c r="Z35" s="1204"/>
      <c r="AA35" s="242"/>
    </row>
    <row r="36" spans="1:37" s="1" customFormat="1" ht="19.5" customHeight="1">
      <c r="B36" s="241"/>
      <c r="C36" s="1182" t="s">
        <v>983</v>
      </c>
      <c r="D36" s="1182"/>
      <c r="E36" s="1182"/>
      <c r="F36" s="1182"/>
      <c r="G36" s="1182"/>
      <c r="H36" s="1182"/>
      <c r="I36" s="1182"/>
      <c r="J36" s="1182"/>
      <c r="K36" s="1182"/>
      <c r="L36" s="1182"/>
      <c r="M36" s="1182"/>
      <c r="N36" s="1182"/>
      <c r="O36" s="1182"/>
      <c r="P36" s="1182"/>
      <c r="Q36" s="1182"/>
      <c r="R36" s="1182"/>
      <c r="S36" s="1182"/>
      <c r="T36" s="1182"/>
      <c r="U36" s="1182"/>
      <c r="V36" s="1182"/>
      <c r="W36" s="1182"/>
      <c r="X36" s="1182"/>
      <c r="Y36" s="1182"/>
      <c r="Z36" s="1182"/>
      <c r="AA36" s="242"/>
    </row>
    <row r="37" spans="1:37" s="2" customFormat="1" ht="12.75" customHeight="1">
      <c r="A37" s="1"/>
      <c r="B37" s="241"/>
      <c r="C37" s="12"/>
      <c r="D37" s="12"/>
      <c r="E37" s="12"/>
      <c r="F37" s="12"/>
      <c r="G37" s="12"/>
      <c r="H37" s="12"/>
      <c r="I37" s="12"/>
      <c r="J37" s="12"/>
      <c r="K37" s="12"/>
      <c r="L37" s="12"/>
      <c r="M37" s="12"/>
      <c r="N37" s="12"/>
      <c r="O37" s="12"/>
      <c r="P37" s="1"/>
      <c r="Q37" s="1"/>
      <c r="R37" s="1"/>
      <c r="S37" s="1"/>
      <c r="T37" s="1"/>
      <c r="U37" s="1"/>
      <c r="V37" s="1"/>
      <c r="W37" s="1"/>
      <c r="X37" s="1"/>
      <c r="Y37" s="1"/>
      <c r="Z37" s="1"/>
      <c r="AA37" s="242"/>
      <c r="AB37" s="1"/>
      <c r="AC37" s="1"/>
      <c r="AD37" s="1"/>
      <c r="AE37" s="1"/>
      <c r="AF37" s="1"/>
      <c r="AG37" s="1"/>
      <c r="AH37" s="1"/>
      <c r="AI37" s="1"/>
      <c r="AJ37" s="1"/>
      <c r="AK37" s="1"/>
    </row>
    <row r="38" spans="1:37" s="2" customFormat="1" ht="18" customHeight="1">
      <c r="A38" s="1"/>
      <c r="B38" s="241"/>
      <c r="C38" s="1"/>
      <c r="D38" s="1204" t="s">
        <v>984</v>
      </c>
      <c r="E38" s="1204"/>
      <c r="F38" s="1204"/>
      <c r="G38" s="1204"/>
      <c r="H38" s="1204"/>
      <c r="I38" s="1204"/>
      <c r="J38" s="1204"/>
      <c r="K38" s="1204"/>
      <c r="L38" s="1204"/>
      <c r="M38" s="1204"/>
      <c r="N38" s="1204"/>
      <c r="O38" s="1204"/>
      <c r="P38" s="1204"/>
      <c r="Q38" s="1204"/>
      <c r="R38" s="1204"/>
      <c r="S38" s="1204"/>
      <c r="T38" s="1204"/>
      <c r="U38" s="1204"/>
      <c r="V38" s="1204"/>
      <c r="W38" s="1"/>
      <c r="X38" s="1"/>
      <c r="Y38" s="1201" t="s">
        <v>114</v>
      </c>
      <c r="Z38" s="1201"/>
      <c r="AA38" s="242"/>
      <c r="AB38" s="1"/>
      <c r="AC38" s="1"/>
      <c r="AD38" s="1"/>
      <c r="AE38" s="1"/>
      <c r="AF38" s="1"/>
      <c r="AG38" s="1"/>
      <c r="AH38" s="1"/>
      <c r="AI38" s="1"/>
      <c r="AJ38" s="1"/>
      <c r="AK38" s="1"/>
    </row>
    <row r="39" spans="1:37" s="2" customFormat="1" ht="37.5" customHeight="1">
      <c r="B39" s="362"/>
      <c r="D39" s="1204" t="s">
        <v>521</v>
      </c>
      <c r="E39" s="1204"/>
      <c r="F39" s="1204"/>
      <c r="G39" s="1204"/>
      <c r="H39" s="1204"/>
      <c r="I39" s="1204"/>
      <c r="J39" s="1204"/>
      <c r="K39" s="1204"/>
      <c r="L39" s="1204"/>
      <c r="M39" s="1204"/>
      <c r="N39" s="1204"/>
      <c r="O39" s="1204"/>
      <c r="P39" s="1204"/>
      <c r="Q39" s="1204"/>
      <c r="R39" s="1204"/>
      <c r="S39" s="1204"/>
      <c r="T39" s="1204"/>
      <c r="U39" s="1204"/>
      <c r="V39" s="1204"/>
      <c r="Y39" s="1201" t="s">
        <v>114</v>
      </c>
      <c r="Z39" s="1201"/>
      <c r="AA39" s="385"/>
    </row>
    <row r="40" spans="1:37" ht="19.5" customHeight="1">
      <c r="A40" s="2"/>
      <c r="B40" s="362"/>
      <c r="C40" s="2"/>
      <c r="D40" s="1204" t="s">
        <v>564</v>
      </c>
      <c r="E40" s="1204"/>
      <c r="F40" s="1204"/>
      <c r="G40" s="1204"/>
      <c r="H40" s="1204"/>
      <c r="I40" s="1204"/>
      <c r="J40" s="1204"/>
      <c r="K40" s="1204"/>
      <c r="L40" s="1204"/>
      <c r="M40" s="1204"/>
      <c r="N40" s="1204"/>
      <c r="O40" s="1204"/>
      <c r="P40" s="1204"/>
      <c r="Q40" s="1204"/>
      <c r="R40" s="1204"/>
      <c r="S40" s="1204"/>
      <c r="T40" s="1204"/>
      <c r="U40" s="1204"/>
      <c r="V40" s="1204"/>
      <c r="W40" s="2"/>
      <c r="X40" s="2"/>
      <c r="Y40" s="1201" t="s">
        <v>114</v>
      </c>
      <c r="Z40" s="1201"/>
      <c r="AA40" s="385"/>
      <c r="AB40" s="2"/>
      <c r="AC40" s="2"/>
      <c r="AD40" s="2"/>
      <c r="AE40" s="2"/>
      <c r="AF40" s="2"/>
      <c r="AG40" s="2"/>
      <c r="AH40" s="2"/>
      <c r="AI40" s="2"/>
      <c r="AJ40" s="2"/>
      <c r="AK40" s="2"/>
    </row>
    <row r="41" spans="1:37" s="1" customFormat="1" ht="19.5" customHeight="1">
      <c r="A41" s="2"/>
      <c r="B41" s="362"/>
      <c r="C41" s="2"/>
      <c r="D41" s="1204" t="s">
        <v>985</v>
      </c>
      <c r="E41" s="1204"/>
      <c r="F41" s="1204"/>
      <c r="G41" s="1204"/>
      <c r="H41" s="1204"/>
      <c r="I41" s="1204"/>
      <c r="J41" s="1204"/>
      <c r="K41" s="1204"/>
      <c r="L41" s="1204"/>
      <c r="M41" s="1204"/>
      <c r="N41" s="1204"/>
      <c r="O41" s="1204"/>
      <c r="P41" s="1204"/>
      <c r="Q41" s="1204"/>
      <c r="R41" s="1204"/>
      <c r="S41" s="1204"/>
      <c r="T41" s="1204"/>
      <c r="U41" s="1204"/>
      <c r="V41" s="1204"/>
      <c r="W41" s="2"/>
      <c r="X41" s="2"/>
      <c r="Y41" s="1201" t="s">
        <v>114</v>
      </c>
      <c r="Z41" s="1201"/>
      <c r="AA41" s="385"/>
      <c r="AB41" s="2"/>
      <c r="AC41" s="2"/>
      <c r="AD41" s="2"/>
      <c r="AE41" s="2"/>
      <c r="AF41" s="2"/>
      <c r="AG41" s="2"/>
      <c r="AH41" s="2"/>
      <c r="AI41" s="2"/>
      <c r="AJ41" s="2"/>
      <c r="AK41" s="2"/>
    </row>
    <row r="42" spans="1:37" s="1" customFormat="1" ht="16.5" customHeight="1">
      <c r="A42" s="2"/>
      <c r="B42" s="362"/>
      <c r="C42" s="2"/>
      <c r="D42" s="1204" t="s">
        <v>986</v>
      </c>
      <c r="E42" s="1204"/>
      <c r="F42" s="1204"/>
      <c r="G42" s="1204"/>
      <c r="H42" s="1204"/>
      <c r="I42" s="1204"/>
      <c r="J42" s="1204"/>
      <c r="K42" s="1204"/>
      <c r="L42" s="1204"/>
      <c r="M42" s="1204"/>
      <c r="N42" s="1204"/>
      <c r="O42" s="1204"/>
      <c r="P42" s="1204"/>
      <c r="Q42" s="1204"/>
      <c r="R42" s="1204"/>
      <c r="S42" s="1204"/>
      <c r="T42" s="1204"/>
      <c r="U42" s="1204"/>
      <c r="V42" s="1204"/>
      <c r="W42" s="2"/>
      <c r="X42" s="2"/>
      <c r="Y42" s="287"/>
      <c r="Z42" s="287"/>
      <c r="AA42" s="385"/>
      <c r="AB42" s="2"/>
      <c r="AC42" s="2"/>
      <c r="AD42" s="2"/>
      <c r="AE42" s="2"/>
      <c r="AF42" s="2"/>
      <c r="AG42" s="2"/>
      <c r="AH42" s="2"/>
      <c r="AI42" s="2"/>
      <c r="AJ42" s="2"/>
      <c r="AK42" s="2"/>
    </row>
    <row r="43" spans="1:37" s="1" customFormat="1" ht="8.25" customHeight="1">
      <c r="A43" s="3"/>
      <c r="B43" s="38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987</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241"/>
      <c r="C47" s="1" t="s">
        <v>988</v>
      </c>
      <c r="D47" s="12"/>
      <c r="E47" s="12"/>
      <c r="F47" s="12"/>
      <c r="G47" s="12"/>
      <c r="H47" s="12"/>
      <c r="I47" s="12"/>
      <c r="J47" s="12"/>
      <c r="K47" s="12"/>
      <c r="L47" s="12"/>
      <c r="M47" s="12"/>
      <c r="N47" s="12"/>
      <c r="O47" s="12"/>
      <c r="Y47" s="367"/>
      <c r="Z47" s="367"/>
      <c r="AA47" s="242"/>
    </row>
    <row r="48" spans="1:37" s="1" customFormat="1" ht="19.5" customHeight="1">
      <c r="B48" s="241"/>
      <c r="C48" s="1" t="s">
        <v>989</v>
      </c>
      <c r="D48" s="12"/>
      <c r="E48" s="12"/>
      <c r="F48" s="12"/>
      <c r="G48" s="12"/>
      <c r="H48" s="12"/>
      <c r="I48" s="12"/>
      <c r="J48" s="12"/>
      <c r="K48" s="12"/>
      <c r="L48" s="12"/>
      <c r="M48" s="12"/>
      <c r="N48" s="12"/>
      <c r="O48" s="12"/>
      <c r="Y48" s="1201" t="s">
        <v>114</v>
      </c>
      <c r="Z48" s="1201"/>
      <c r="AA48" s="242"/>
    </row>
    <row r="49" spans="1:37" s="1" customFormat="1" ht="19.5" customHeight="1">
      <c r="B49" s="241"/>
      <c r="D49" s="1207" t="s">
        <v>990</v>
      </c>
      <c r="E49" s="1205"/>
      <c r="F49" s="1205"/>
      <c r="G49" s="1205"/>
      <c r="H49" s="1205"/>
      <c r="I49" s="1205"/>
      <c r="J49" s="1205"/>
      <c r="K49" s="1205"/>
      <c r="L49" s="1205"/>
      <c r="M49" s="1205"/>
      <c r="N49" s="1205"/>
      <c r="O49" s="1205"/>
      <c r="P49" s="1205"/>
      <c r="Q49" s="1205"/>
      <c r="R49" s="1208" t="s">
        <v>97</v>
      </c>
      <c r="S49" s="1209"/>
      <c r="T49" s="1209"/>
      <c r="U49" s="1209"/>
      <c r="V49" s="1210"/>
      <c r="AA49" s="242"/>
    </row>
    <row r="50" spans="1:37" s="1" customFormat="1" ht="19.5" customHeight="1">
      <c r="B50" s="241"/>
      <c r="D50" s="1207" t="s">
        <v>991</v>
      </c>
      <c r="E50" s="1205"/>
      <c r="F50" s="1205"/>
      <c r="G50" s="1205"/>
      <c r="H50" s="1205"/>
      <c r="I50" s="1205"/>
      <c r="J50" s="1205"/>
      <c r="K50" s="1205"/>
      <c r="L50" s="1205"/>
      <c r="M50" s="1205"/>
      <c r="N50" s="1205"/>
      <c r="O50" s="1205"/>
      <c r="P50" s="1205"/>
      <c r="Q50" s="1206"/>
      <c r="R50" s="1208" t="s">
        <v>97</v>
      </c>
      <c r="S50" s="1209"/>
      <c r="T50" s="1209"/>
      <c r="U50" s="1209"/>
      <c r="V50" s="1210"/>
      <c r="AA50" s="242"/>
    </row>
    <row r="51" spans="1:37" s="1" customFormat="1" ht="19.5" customHeight="1">
      <c r="B51" s="241"/>
      <c r="C51" s="1" t="s">
        <v>976</v>
      </c>
      <c r="D51" s="12"/>
      <c r="E51" s="12"/>
      <c r="F51" s="12"/>
      <c r="G51" s="12"/>
      <c r="H51" s="12"/>
      <c r="I51" s="12"/>
      <c r="J51" s="12"/>
      <c r="K51" s="12"/>
      <c r="L51" s="12"/>
      <c r="M51" s="12"/>
      <c r="N51" s="12"/>
      <c r="O51" s="12"/>
      <c r="Y51" s="1201" t="s">
        <v>114</v>
      </c>
      <c r="Z51" s="1201"/>
      <c r="AA51" s="242"/>
    </row>
    <row r="52" spans="1:37" s="1" customFormat="1" ht="19.5" customHeight="1">
      <c r="B52" s="241"/>
      <c r="C52" s="1" t="s">
        <v>977</v>
      </c>
      <c r="D52" s="12"/>
      <c r="E52" s="12"/>
      <c r="F52" s="12"/>
      <c r="G52" s="12"/>
      <c r="H52" s="12"/>
      <c r="I52" s="12"/>
      <c r="J52" s="12"/>
      <c r="K52" s="12"/>
      <c r="L52" s="12"/>
      <c r="M52" s="12"/>
      <c r="N52" s="12"/>
      <c r="O52" s="12"/>
      <c r="Y52" s="1201" t="s">
        <v>114</v>
      </c>
      <c r="Z52" s="1201"/>
      <c r="AA52" s="242"/>
    </row>
    <row r="53" spans="1:37" s="1" customFormat="1" ht="23.25" customHeight="1">
      <c r="B53" s="241"/>
      <c r="D53" s="1182" t="s">
        <v>978</v>
      </c>
      <c r="E53" s="1182"/>
      <c r="F53" s="1182"/>
      <c r="G53" s="1182"/>
      <c r="H53" s="1182"/>
      <c r="I53" s="1182"/>
      <c r="J53" s="1182"/>
      <c r="K53" s="12"/>
      <c r="L53" s="12"/>
      <c r="M53" s="12"/>
      <c r="N53" s="12"/>
      <c r="O53" s="12"/>
      <c r="Y53" s="367"/>
      <c r="Z53" s="367"/>
      <c r="AA53" s="242"/>
    </row>
    <row r="54" spans="1:37" s="1" customFormat="1" ht="23.25" customHeight="1">
      <c r="B54" s="241"/>
      <c r="C54" s="1" t="s">
        <v>979</v>
      </c>
      <c r="AA54" s="242"/>
    </row>
    <row r="55" spans="1:37" s="1" customFormat="1" ht="6.75" customHeight="1">
      <c r="B55" s="241"/>
      <c r="AA55" s="242"/>
    </row>
    <row r="56" spans="1:37" s="1" customFormat="1" ht="19.5" customHeight="1">
      <c r="B56" s="241" t="s">
        <v>174</v>
      </c>
      <c r="C56" s="904" t="s">
        <v>167</v>
      </c>
      <c r="D56" s="905"/>
      <c r="E56" s="905"/>
      <c r="F56" s="905"/>
      <c r="G56" s="905"/>
      <c r="H56" s="906"/>
      <c r="I56" s="1205"/>
      <c r="J56" s="1205"/>
      <c r="K56" s="1205"/>
      <c r="L56" s="1205"/>
      <c r="M56" s="1205"/>
      <c r="N56" s="1205"/>
      <c r="O56" s="1205"/>
      <c r="P56" s="1205"/>
      <c r="Q56" s="1205"/>
      <c r="R56" s="1205"/>
      <c r="S56" s="1205"/>
      <c r="T56" s="1205"/>
      <c r="U56" s="1205"/>
      <c r="V56" s="1205"/>
      <c r="W56" s="1205"/>
      <c r="X56" s="1205"/>
      <c r="Y56" s="1205"/>
      <c r="Z56" s="1206"/>
      <c r="AA56" s="242"/>
    </row>
    <row r="57" spans="1:37" s="1" customFormat="1" ht="19.5" customHeight="1">
      <c r="B57" s="241" t="s">
        <v>174</v>
      </c>
      <c r="C57" s="904" t="s">
        <v>175</v>
      </c>
      <c r="D57" s="905"/>
      <c r="E57" s="905"/>
      <c r="F57" s="905"/>
      <c r="G57" s="905"/>
      <c r="H57" s="906"/>
      <c r="I57" s="1205"/>
      <c r="J57" s="1205"/>
      <c r="K57" s="1205"/>
      <c r="L57" s="1205"/>
      <c r="M57" s="1205"/>
      <c r="N57" s="1205"/>
      <c r="O57" s="1205"/>
      <c r="P57" s="1205"/>
      <c r="Q57" s="1205"/>
      <c r="R57" s="1205"/>
      <c r="S57" s="1205"/>
      <c r="T57" s="1205"/>
      <c r="U57" s="1205"/>
      <c r="V57" s="1205"/>
      <c r="W57" s="1205"/>
      <c r="X57" s="1205"/>
      <c r="Y57" s="1205"/>
      <c r="Z57" s="1206"/>
      <c r="AA57" s="242"/>
    </row>
    <row r="58" spans="1:37" s="1" customFormat="1" ht="19.5" customHeight="1">
      <c r="B58" s="241" t="s">
        <v>174</v>
      </c>
      <c r="C58" s="904" t="s">
        <v>168</v>
      </c>
      <c r="D58" s="905"/>
      <c r="E58" s="905"/>
      <c r="F58" s="905"/>
      <c r="G58" s="905"/>
      <c r="H58" s="906"/>
      <c r="I58" s="1205"/>
      <c r="J58" s="1205"/>
      <c r="K58" s="1205"/>
      <c r="L58" s="1205"/>
      <c r="M58" s="1205"/>
      <c r="N58" s="1205"/>
      <c r="O58" s="1205"/>
      <c r="P58" s="1205"/>
      <c r="Q58" s="1205"/>
      <c r="R58" s="1205"/>
      <c r="S58" s="1205"/>
      <c r="T58" s="1205"/>
      <c r="U58" s="1205"/>
      <c r="V58" s="1205"/>
      <c r="W58" s="1205"/>
      <c r="X58" s="1205"/>
      <c r="Y58" s="1205"/>
      <c r="Z58" s="1206"/>
      <c r="AA58" s="242"/>
    </row>
    <row r="59" spans="1:37" s="1" customFormat="1" ht="19.5" customHeight="1">
      <c r="B59" s="241"/>
      <c r="C59" s="12"/>
      <c r="D59" s="12"/>
      <c r="E59" s="12"/>
      <c r="F59" s="12"/>
      <c r="G59" s="12"/>
      <c r="H59" s="12"/>
      <c r="I59" s="2"/>
      <c r="J59" s="2"/>
      <c r="K59" s="2"/>
      <c r="L59" s="2"/>
      <c r="M59" s="2"/>
      <c r="N59" s="2"/>
      <c r="O59" s="2"/>
      <c r="P59" s="2"/>
      <c r="Q59" s="2"/>
      <c r="R59" s="2"/>
      <c r="S59" s="2"/>
      <c r="T59" s="2"/>
      <c r="U59" s="2"/>
      <c r="V59" s="2"/>
      <c r="W59" s="2"/>
      <c r="X59" s="2"/>
      <c r="Y59" s="2"/>
      <c r="Z59" s="2"/>
      <c r="AA59" s="242"/>
    </row>
    <row r="60" spans="1:37" s="2" customFormat="1" ht="18" customHeight="1">
      <c r="A60" s="1"/>
      <c r="B60" s="241"/>
      <c r="C60" s="921" t="s">
        <v>992</v>
      </c>
      <c r="D60" s="921"/>
      <c r="E60" s="921"/>
      <c r="F60" s="921"/>
      <c r="G60" s="921"/>
      <c r="H60" s="921"/>
      <c r="I60" s="921"/>
      <c r="J60" s="921"/>
      <c r="K60" s="921"/>
      <c r="L60" s="921"/>
      <c r="M60" s="921"/>
      <c r="N60" s="921"/>
      <c r="O60" s="921"/>
      <c r="P60" s="921"/>
      <c r="Q60" s="921"/>
      <c r="R60" s="921"/>
      <c r="S60" s="921"/>
      <c r="T60" s="921"/>
      <c r="U60" s="921"/>
      <c r="V60" s="921"/>
      <c r="W60" s="921"/>
      <c r="X60" s="921"/>
      <c r="Y60" s="921"/>
      <c r="Z60" s="921"/>
      <c r="AA60" s="926"/>
      <c r="AB60" s="1"/>
      <c r="AC60" s="1"/>
      <c r="AD60" s="1"/>
      <c r="AE60" s="1"/>
      <c r="AF60" s="1"/>
      <c r="AG60" s="1"/>
      <c r="AH60" s="1"/>
      <c r="AI60" s="1"/>
      <c r="AJ60" s="1"/>
      <c r="AK60" s="1"/>
    </row>
    <row r="61" spans="1:37" s="2" customFormat="1" ht="18" customHeight="1">
      <c r="A61" s="1"/>
      <c r="B61" s="241"/>
      <c r="C61" s="12"/>
      <c r="D61" s="12"/>
      <c r="E61" s="12"/>
      <c r="F61" s="12"/>
      <c r="G61" s="12"/>
      <c r="H61" s="12"/>
      <c r="I61" s="12"/>
      <c r="J61" s="12"/>
      <c r="K61" s="12"/>
      <c r="L61" s="12"/>
      <c r="M61" s="12"/>
      <c r="N61" s="12"/>
      <c r="O61" s="12"/>
      <c r="P61" s="1"/>
      <c r="Q61" s="1"/>
      <c r="R61" s="1"/>
      <c r="S61" s="1"/>
      <c r="T61" s="1"/>
      <c r="U61" s="1"/>
      <c r="V61" s="1"/>
      <c r="W61" s="1"/>
      <c r="X61" s="1"/>
      <c r="Y61" s="1"/>
      <c r="Z61" s="1"/>
      <c r="AA61" s="242"/>
      <c r="AB61" s="1"/>
      <c r="AC61" s="1"/>
      <c r="AD61" s="1"/>
      <c r="AE61" s="1"/>
      <c r="AF61" s="1"/>
      <c r="AG61" s="1"/>
      <c r="AH61" s="1"/>
      <c r="AI61" s="1"/>
      <c r="AJ61" s="1"/>
      <c r="AK61" s="1"/>
    </row>
    <row r="62" spans="1:37" s="2" customFormat="1" ht="19.5" customHeight="1">
      <c r="A62" s="1"/>
      <c r="B62" s="241"/>
      <c r="C62" s="1"/>
      <c r="D62" s="1204" t="s">
        <v>993</v>
      </c>
      <c r="E62" s="1204"/>
      <c r="F62" s="1204"/>
      <c r="G62" s="1204"/>
      <c r="H62" s="1204"/>
      <c r="I62" s="1204"/>
      <c r="J62" s="1204"/>
      <c r="K62" s="1204"/>
      <c r="L62" s="1204"/>
      <c r="M62" s="1204"/>
      <c r="N62" s="1204"/>
      <c r="O62" s="1204"/>
      <c r="P62" s="1204"/>
      <c r="Q62" s="1204"/>
      <c r="R62" s="1204"/>
      <c r="S62" s="1204"/>
      <c r="T62" s="1204"/>
      <c r="U62" s="1204"/>
      <c r="V62" s="1204"/>
      <c r="W62" s="1"/>
      <c r="X62" s="1"/>
      <c r="Y62" s="1201" t="s">
        <v>114</v>
      </c>
      <c r="Z62" s="1201"/>
      <c r="AA62" s="242"/>
      <c r="AB62" s="1"/>
      <c r="AC62" s="1"/>
      <c r="AD62" s="1"/>
      <c r="AE62" s="1"/>
      <c r="AF62" s="1"/>
      <c r="AG62" s="1"/>
      <c r="AH62" s="1"/>
      <c r="AI62" s="1"/>
      <c r="AJ62" s="1"/>
      <c r="AK62" s="1"/>
    </row>
    <row r="63" spans="1:37" ht="19.5" customHeight="1">
      <c r="A63" s="2"/>
      <c r="B63" s="362"/>
      <c r="C63" s="2"/>
      <c r="D63" s="1204" t="s">
        <v>521</v>
      </c>
      <c r="E63" s="1204"/>
      <c r="F63" s="1204"/>
      <c r="G63" s="1204"/>
      <c r="H63" s="1204"/>
      <c r="I63" s="1204"/>
      <c r="J63" s="1204"/>
      <c r="K63" s="1204"/>
      <c r="L63" s="1204"/>
      <c r="M63" s="1204"/>
      <c r="N63" s="1204"/>
      <c r="O63" s="1204"/>
      <c r="P63" s="1204"/>
      <c r="Q63" s="1204"/>
      <c r="R63" s="1204"/>
      <c r="S63" s="1204"/>
      <c r="T63" s="1204"/>
      <c r="U63" s="1204"/>
      <c r="V63" s="1204"/>
      <c r="W63" s="2"/>
      <c r="X63" s="2"/>
      <c r="Y63" s="1201" t="s">
        <v>114</v>
      </c>
      <c r="Z63" s="1201"/>
      <c r="AA63" s="385"/>
      <c r="AB63" s="2"/>
      <c r="AC63" s="2"/>
      <c r="AD63" s="2"/>
      <c r="AE63" s="2"/>
      <c r="AF63" s="2"/>
      <c r="AG63" s="2"/>
      <c r="AH63" s="2"/>
      <c r="AI63" s="2"/>
      <c r="AJ63" s="2"/>
      <c r="AK63" s="2"/>
    </row>
    <row r="64" spans="1:37" ht="19.5" customHeight="1">
      <c r="A64" s="2"/>
      <c r="B64" s="362"/>
      <c r="C64" s="2"/>
      <c r="D64" s="1204" t="s">
        <v>564</v>
      </c>
      <c r="E64" s="1204"/>
      <c r="F64" s="1204"/>
      <c r="G64" s="1204"/>
      <c r="H64" s="1204"/>
      <c r="I64" s="1204"/>
      <c r="J64" s="1204"/>
      <c r="K64" s="1204"/>
      <c r="L64" s="1204"/>
      <c r="M64" s="1204"/>
      <c r="N64" s="1204"/>
      <c r="O64" s="1204"/>
      <c r="P64" s="1204"/>
      <c r="Q64" s="1204"/>
      <c r="R64" s="1204"/>
      <c r="S64" s="1204"/>
      <c r="T64" s="1204"/>
      <c r="U64" s="1204"/>
      <c r="V64" s="1204"/>
      <c r="W64" s="2"/>
      <c r="X64" s="2"/>
      <c r="Y64" s="1201" t="s">
        <v>114</v>
      </c>
      <c r="Z64" s="1201"/>
      <c r="AA64" s="385"/>
      <c r="AB64" s="2"/>
      <c r="AC64" s="2"/>
      <c r="AD64" s="2"/>
      <c r="AE64" s="2"/>
      <c r="AF64" s="2"/>
      <c r="AG64" s="2"/>
      <c r="AH64" s="2"/>
      <c r="AI64" s="2"/>
      <c r="AJ64" s="2"/>
      <c r="AK64" s="2"/>
    </row>
    <row r="65" spans="1:37" ht="19.5" customHeight="1">
      <c r="A65" s="2"/>
      <c r="B65" s="362"/>
      <c r="C65" s="2"/>
      <c r="D65" s="1204" t="s">
        <v>985</v>
      </c>
      <c r="E65" s="1204"/>
      <c r="F65" s="1204"/>
      <c r="G65" s="1204"/>
      <c r="H65" s="1204"/>
      <c r="I65" s="1204"/>
      <c r="J65" s="1204"/>
      <c r="K65" s="1204"/>
      <c r="L65" s="1204"/>
      <c r="M65" s="1204"/>
      <c r="N65" s="1204"/>
      <c r="O65" s="1204"/>
      <c r="P65" s="1204"/>
      <c r="Q65" s="1204"/>
      <c r="R65" s="1204"/>
      <c r="S65" s="1204"/>
      <c r="T65" s="1204"/>
      <c r="U65" s="1204"/>
      <c r="V65" s="1204"/>
      <c r="W65" s="2"/>
      <c r="X65" s="2"/>
      <c r="Y65" s="1201" t="s">
        <v>114</v>
      </c>
      <c r="Z65" s="1201"/>
      <c r="AA65" s="385"/>
      <c r="AB65" s="2"/>
      <c r="AC65" s="2"/>
      <c r="AD65" s="2"/>
      <c r="AE65" s="2"/>
      <c r="AF65" s="2"/>
      <c r="AG65" s="2"/>
      <c r="AH65" s="2"/>
      <c r="AI65" s="2"/>
      <c r="AJ65" s="2"/>
      <c r="AK65" s="2"/>
    </row>
    <row r="66" spans="1:37" s="2" customFormat="1">
      <c r="B66" s="362"/>
      <c r="D66" s="1204" t="s">
        <v>986</v>
      </c>
      <c r="E66" s="1204"/>
      <c r="F66" s="1204"/>
      <c r="G66" s="1204"/>
      <c r="H66" s="1204"/>
      <c r="I66" s="1204"/>
      <c r="J66" s="1204"/>
      <c r="K66" s="1204"/>
      <c r="L66" s="1204"/>
      <c r="M66" s="1204"/>
      <c r="N66" s="1204"/>
      <c r="O66" s="1204"/>
      <c r="P66" s="1204"/>
      <c r="Q66" s="1204"/>
      <c r="R66" s="1204"/>
      <c r="S66" s="1204"/>
      <c r="T66" s="1204"/>
      <c r="U66" s="1204"/>
      <c r="V66" s="1204"/>
      <c r="Y66" s="287"/>
      <c r="Z66" s="287"/>
      <c r="AA66" s="385"/>
    </row>
    <row r="67" spans="1:37" s="2" customFormat="1">
      <c r="A67" s="3"/>
      <c r="B67" s="38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38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211" t="s">
        <v>994</v>
      </c>
      <c r="C69" s="1211"/>
      <c r="D69" s="1211"/>
      <c r="E69" s="1211"/>
      <c r="F69" s="1211"/>
      <c r="G69" s="1211"/>
      <c r="H69" s="1211"/>
      <c r="I69" s="1211"/>
      <c r="J69" s="1211"/>
      <c r="K69" s="1211"/>
      <c r="L69" s="1211"/>
      <c r="M69" s="1211"/>
      <c r="N69" s="1211"/>
      <c r="O69" s="1211"/>
      <c r="P69" s="1211"/>
      <c r="Q69" s="1211"/>
      <c r="R69" s="1211"/>
      <c r="S69" s="1211"/>
      <c r="T69" s="1211"/>
      <c r="U69" s="1211"/>
      <c r="V69" s="1211"/>
      <c r="W69" s="1211"/>
      <c r="X69" s="1211"/>
      <c r="Y69" s="1211"/>
      <c r="Z69" s="1211"/>
      <c r="AA69" s="1211"/>
    </row>
    <row r="70" spans="1:37">
      <c r="A70" s="2"/>
      <c r="B70" s="1211" t="s">
        <v>995</v>
      </c>
      <c r="C70" s="1211"/>
      <c r="D70" s="1211"/>
      <c r="E70" s="1211"/>
      <c r="F70" s="1211"/>
      <c r="G70" s="1211"/>
      <c r="H70" s="1211"/>
      <c r="I70" s="1211"/>
      <c r="J70" s="1211"/>
      <c r="K70" s="1211"/>
      <c r="L70" s="1211"/>
      <c r="M70" s="1211"/>
      <c r="N70" s="1211"/>
      <c r="O70" s="1211"/>
      <c r="P70" s="1211"/>
      <c r="Q70" s="1211"/>
      <c r="R70" s="1211"/>
      <c r="S70" s="1211"/>
      <c r="T70" s="1211"/>
      <c r="U70" s="1211"/>
      <c r="V70" s="1211"/>
      <c r="W70" s="1211"/>
      <c r="X70" s="1211"/>
      <c r="Y70" s="1211"/>
      <c r="Z70" s="1211"/>
      <c r="AA70" s="1211"/>
      <c r="AB70" s="2"/>
      <c r="AC70" s="2"/>
      <c r="AD70" s="2"/>
      <c r="AE70" s="2"/>
      <c r="AF70" s="2"/>
      <c r="AG70" s="2"/>
      <c r="AH70" s="2"/>
      <c r="AI70" s="2"/>
      <c r="AJ70" s="2"/>
      <c r="AK70" s="2"/>
    </row>
    <row r="71" spans="1:37" ht="13.5" customHeight="1">
      <c r="A71" s="2"/>
      <c r="B71" s="1211" t="s">
        <v>996</v>
      </c>
      <c r="C71" s="1211"/>
      <c r="D71" s="1211"/>
      <c r="E71" s="1211"/>
      <c r="F71" s="1211"/>
      <c r="G71" s="1211"/>
      <c r="H71" s="1211"/>
      <c r="I71" s="1211"/>
      <c r="J71" s="1211"/>
      <c r="K71" s="1211"/>
      <c r="L71" s="1211"/>
      <c r="M71" s="1211"/>
      <c r="N71" s="1211"/>
      <c r="O71" s="1211"/>
      <c r="P71" s="1211"/>
      <c r="Q71" s="1211"/>
      <c r="R71" s="1211"/>
      <c r="S71" s="1211"/>
      <c r="T71" s="1211"/>
      <c r="U71" s="1211"/>
      <c r="V71" s="1211"/>
      <c r="W71" s="1211"/>
      <c r="X71" s="1211"/>
      <c r="Y71" s="1211"/>
      <c r="Z71" s="1211"/>
      <c r="AA71" s="1211"/>
      <c r="AB71" s="2"/>
      <c r="AC71" s="2"/>
      <c r="AD71" s="2"/>
      <c r="AE71" s="2"/>
      <c r="AF71" s="2"/>
      <c r="AG71" s="2"/>
      <c r="AH71" s="2"/>
      <c r="AI71" s="2"/>
      <c r="AJ71" s="2"/>
      <c r="AK71" s="2"/>
    </row>
    <row r="72" spans="1:37">
      <c r="A72" s="2"/>
      <c r="B72" s="1211" t="s">
        <v>997</v>
      </c>
      <c r="C72" s="1211"/>
      <c r="D72" s="1211"/>
      <c r="E72" s="1211"/>
      <c r="F72" s="1211"/>
      <c r="G72" s="1211"/>
      <c r="H72" s="1211"/>
      <c r="I72" s="1211"/>
      <c r="J72" s="1211"/>
      <c r="K72" s="1211"/>
      <c r="L72" s="1211"/>
      <c r="M72" s="1211"/>
      <c r="N72" s="1211"/>
      <c r="O72" s="1211"/>
      <c r="P72" s="1211"/>
      <c r="Q72" s="1211"/>
      <c r="R72" s="1211"/>
      <c r="S72" s="1211"/>
      <c r="T72" s="1211"/>
      <c r="U72" s="1211"/>
      <c r="V72" s="1211"/>
      <c r="W72" s="1211"/>
      <c r="X72" s="1211"/>
      <c r="Y72" s="1211"/>
      <c r="Z72" s="1211"/>
      <c r="AA72" s="1211"/>
      <c r="AB72" s="2"/>
      <c r="AC72" s="2"/>
      <c r="AD72" s="2"/>
      <c r="AE72" s="2"/>
      <c r="AF72" s="2"/>
      <c r="AG72" s="2"/>
      <c r="AH72" s="2"/>
      <c r="AI72" s="2"/>
      <c r="AJ72" s="2"/>
      <c r="AK72" s="2"/>
    </row>
    <row r="73" spans="1:37">
      <c r="B73" s="1211" t="s">
        <v>998</v>
      </c>
      <c r="C73" s="1211"/>
      <c r="D73" s="1211"/>
      <c r="E73" s="1211"/>
      <c r="F73" s="1211"/>
      <c r="G73" s="1211"/>
      <c r="H73" s="1211"/>
      <c r="I73" s="1211"/>
      <c r="J73" s="1211"/>
      <c r="K73" s="1211"/>
      <c r="L73" s="1211"/>
      <c r="M73" s="1211"/>
      <c r="N73" s="1211"/>
      <c r="O73" s="1211"/>
      <c r="P73" s="1211"/>
      <c r="Q73" s="1211"/>
      <c r="R73" s="1211"/>
      <c r="S73" s="1211"/>
      <c r="T73" s="1211"/>
      <c r="U73" s="1211"/>
      <c r="V73" s="1211"/>
      <c r="W73" s="1211"/>
      <c r="X73" s="1211"/>
      <c r="Y73" s="1211"/>
      <c r="Z73" s="1211"/>
      <c r="AA73" s="1211"/>
      <c r="AB73" s="484"/>
    </row>
    <row r="74" spans="1:37">
      <c r="B74" s="1211" t="s">
        <v>999</v>
      </c>
      <c r="C74" s="1211"/>
      <c r="D74" s="1211"/>
      <c r="E74" s="1211"/>
      <c r="F74" s="1211"/>
      <c r="G74" s="1211"/>
      <c r="H74" s="1211"/>
      <c r="I74" s="1211"/>
      <c r="J74" s="1211"/>
      <c r="K74" s="1211"/>
      <c r="L74" s="1211"/>
      <c r="M74" s="1211"/>
      <c r="N74" s="1211"/>
      <c r="O74" s="1211"/>
      <c r="P74" s="1211"/>
      <c r="Q74" s="1211"/>
      <c r="R74" s="1211"/>
      <c r="S74" s="1211"/>
      <c r="T74" s="1211"/>
      <c r="U74" s="1211"/>
      <c r="V74" s="1211"/>
      <c r="W74" s="1211"/>
      <c r="X74" s="1211"/>
      <c r="Y74" s="1211"/>
      <c r="Z74" s="1211"/>
      <c r="AA74" s="485"/>
      <c r="AB74" s="484"/>
    </row>
    <row r="75" spans="1:37">
      <c r="B75" s="486"/>
      <c r="D75" s="298"/>
    </row>
    <row r="76" spans="1:37">
      <c r="B76" s="486"/>
      <c r="D76" s="298"/>
    </row>
    <row r="77" spans="1:37">
      <c r="B77" s="486"/>
      <c r="D77" s="298"/>
    </row>
    <row r="78" spans="1:37">
      <c r="B78" s="486"/>
      <c r="D78" s="298"/>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rintOptions horizontalCentered="1"/>
  <pageMargins left="0.70866141732283472" right="0.39370078740157483" top="0.51181102362204722" bottom="0.35433070866141736" header="0.31496062992125984" footer="0.31496062992125984"/>
  <pageSetup paperSize="9" scale="64" orientation="portrait" r:id="rId1"/>
  <headerFooter>
    <oddFooter>&amp;C1－&amp;P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590E6-D4F3-4E97-80BD-60F8A5E2CDE3}">
  <sheetPr>
    <tabColor rgb="FFFFFF00"/>
    <pageSetUpPr fitToPage="1"/>
  </sheetPr>
  <dimension ref="B1:AA63"/>
  <sheetViews>
    <sheetView view="pageBreakPreview" zoomScaleNormal="100" zoomScaleSheetLayoutView="100" workbookViewId="0">
      <selection activeCell="C26" sqref="C26:F26"/>
    </sheetView>
  </sheetViews>
  <sheetFormatPr defaultColWidth="3.44140625" defaultRowHeight="13.2"/>
  <cols>
    <col min="1" max="1" width="3.44140625" style="3" customWidth="1"/>
    <col min="2" max="2" width="3" style="384" customWidth="1"/>
    <col min="3" max="5" width="3.44140625" style="3" customWidth="1"/>
    <col min="6" max="6" width="4.88671875" style="3" customWidth="1"/>
    <col min="7" max="7" width="3.44140625" style="3" customWidth="1"/>
    <col min="8" max="8" width="2.44140625" style="3" customWidth="1"/>
    <col min="9" max="36" width="3.44140625" style="3"/>
    <col min="37" max="37" width="3.21875" style="3" customWidth="1"/>
    <col min="38" max="16384" width="3.44140625" style="3"/>
  </cols>
  <sheetData>
    <row r="1" spans="2:27" s="1" customFormat="1"/>
    <row r="2" spans="2:27" s="1" customFormat="1">
      <c r="B2" s="1" t="s">
        <v>1126</v>
      </c>
      <c r="AA2" s="45" t="s">
        <v>514</v>
      </c>
    </row>
    <row r="3" spans="2:27" s="1" customFormat="1" ht="8.25" customHeight="1"/>
    <row r="4" spans="2:27" s="1" customFormat="1">
      <c r="B4" s="899" t="s">
        <v>1127</v>
      </c>
      <c r="C4" s="899"/>
      <c r="D4" s="899"/>
      <c r="E4" s="899"/>
      <c r="F4" s="899"/>
      <c r="G4" s="899"/>
      <c r="H4" s="899"/>
      <c r="I4" s="899"/>
      <c r="J4" s="899"/>
      <c r="K4" s="899"/>
      <c r="L4" s="899"/>
      <c r="M4" s="899"/>
      <c r="N4" s="899"/>
      <c r="O4" s="899"/>
      <c r="P4" s="899"/>
      <c r="Q4" s="899"/>
      <c r="R4" s="899"/>
      <c r="S4" s="899"/>
      <c r="T4" s="899"/>
      <c r="U4" s="899"/>
      <c r="V4" s="899"/>
      <c r="W4" s="899"/>
      <c r="X4" s="899"/>
      <c r="Y4" s="899"/>
      <c r="Z4" s="899"/>
      <c r="AA4" s="899"/>
    </row>
    <row r="5" spans="2:27" s="1" customFormat="1" ht="6.75" customHeight="1"/>
    <row r="6" spans="2:27" s="1" customFormat="1" ht="19.5" customHeight="1">
      <c r="B6" s="1161" t="s">
        <v>145</v>
      </c>
      <c r="C6" s="1161"/>
      <c r="D6" s="1161"/>
      <c r="E6" s="1161"/>
      <c r="F6" s="1161"/>
      <c r="G6" s="904"/>
      <c r="H6" s="905"/>
      <c r="I6" s="905"/>
      <c r="J6" s="905"/>
      <c r="K6" s="905"/>
      <c r="L6" s="905"/>
      <c r="M6" s="905"/>
      <c r="N6" s="905"/>
      <c r="O6" s="905"/>
      <c r="P6" s="905"/>
      <c r="Q6" s="905"/>
      <c r="R6" s="905"/>
      <c r="S6" s="905"/>
      <c r="T6" s="905"/>
      <c r="U6" s="905"/>
      <c r="V6" s="905"/>
      <c r="W6" s="905"/>
      <c r="X6" s="905"/>
      <c r="Y6" s="905"/>
      <c r="Z6" s="905"/>
      <c r="AA6" s="906"/>
    </row>
    <row r="7" spans="2:27" s="1" customFormat="1" ht="9" customHeight="1"/>
    <row r="8" spans="2:27" s="1" customFormat="1" ht="6" customHeight="1">
      <c r="B8" s="6"/>
      <c r="C8" s="7"/>
      <c r="D8" s="7"/>
      <c r="E8" s="7"/>
      <c r="F8" s="7"/>
      <c r="G8" s="7"/>
      <c r="H8" s="7"/>
      <c r="I8" s="7"/>
      <c r="J8" s="7"/>
      <c r="K8" s="7"/>
      <c r="L8" s="7"/>
      <c r="M8" s="7"/>
      <c r="N8" s="7"/>
      <c r="O8" s="7"/>
      <c r="P8" s="7"/>
      <c r="Q8" s="7"/>
      <c r="R8" s="7"/>
      <c r="S8" s="7"/>
      <c r="T8" s="7"/>
      <c r="U8" s="7"/>
      <c r="V8" s="7"/>
      <c r="W8" s="7"/>
      <c r="X8" s="7"/>
      <c r="Y8" s="7"/>
      <c r="Z8" s="7"/>
      <c r="AA8" s="4"/>
    </row>
    <row r="9" spans="2:27" s="1" customFormat="1" ht="21" customHeight="1">
      <c r="B9" s="241"/>
      <c r="C9" s="1" t="s">
        <v>1128</v>
      </c>
      <c r="AA9" s="242"/>
    </row>
    <row r="10" spans="2:27" s="1" customFormat="1" ht="19.5" customHeight="1">
      <c r="B10" s="241"/>
      <c r="C10" s="1161" t="s">
        <v>1129</v>
      </c>
      <c r="D10" s="1161"/>
      <c r="E10" s="1161"/>
      <c r="F10" s="1161"/>
      <c r="G10" s="904" t="s">
        <v>1130</v>
      </c>
      <c r="H10" s="905"/>
      <c r="I10" s="905"/>
      <c r="J10" s="905"/>
      <c r="K10" s="906"/>
      <c r="M10" s="2"/>
      <c r="N10" s="2"/>
      <c r="O10" s="2"/>
      <c r="P10" s="2"/>
      <c r="Q10" s="2"/>
      <c r="R10" s="2"/>
      <c r="S10" s="2"/>
      <c r="T10" s="2"/>
      <c r="U10" s="2"/>
      <c r="Y10" s="287"/>
      <c r="Z10" s="287"/>
      <c r="AA10" s="242"/>
    </row>
    <row r="11" spans="2:27" s="1" customFormat="1" ht="6" customHeight="1">
      <c r="B11" s="241"/>
      <c r="C11" s="12"/>
      <c r="D11" s="12"/>
      <c r="E11" s="12"/>
      <c r="F11" s="12"/>
      <c r="G11" s="12"/>
      <c r="H11" s="12"/>
      <c r="I11" s="12"/>
      <c r="J11" s="12"/>
      <c r="K11" s="12"/>
      <c r="M11" s="12"/>
      <c r="N11" s="12"/>
      <c r="O11" s="12"/>
      <c r="P11" s="12"/>
      <c r="Q11" s="12"/>
      <c r="R11" s="12"/>
      <c r="S11" s="12"/>
      <c r="T11" s="12"/>
      <c r="U11" s="12"/>
      <c r="Y11" s="287"/>
      <c r="Z11" s="287"/>
      <c r="AA11" s="242"/>
    </row>
    <row r="12" spans="2:27" s="1" customFormat="1" ht="18.75" customHeight="1">
      <c r="B12" s="241"/>
      <c r="C12" s="1" t="s">
        <v>1131</v>
      </c>
      <c r="AA12" s="242"/>
    </row>
    <row r="13" spans="2:27" s="1" customFormat="1" ht="19.5" customHeight="1">
      <c r="B13" s="241"/>
      <c r="C13" s="1161" t="s">
        <v>1132</v>
      </c>
      <c r="D13" s="1161"/>
      <c r="E13" s="1161"/>
      <c r="F13" s="1161"/>
      <c r="G13" s="904" t="s">
        <v>1133</v>
      </c>
      <c r="H13" s="905"/>
      <c r="I13" s="905"/>
      <c r="J13" s="905"/>
      <c r="K13" s="906"/>
      <c r="M13" s="1161" t="s">
        <v>1134</v>
      </c>
      <c r="N13" s="1161"/>
      <c r="O13" s="1161"/>
      <c r="P13" s="1161"/>
      <c r="Q13" s="904" t="s">
        <v>1133</v>
      </c>
      <c r="R13" s="905"/>
      <c r="S13" s="905"/>
      <c r="T13" s="905"/>
      <c r="U13" s="906"/>
      <c r="Y13" s="287"/>
      <c r="Z13" s="287"/>
      <c r="AA13" s="242"/>
    </row>
    <row r="14" spans="2:27" s="1" customFormat="1" ht="7.5" customHeight="1">
      <c r="B14" s="241"/>
      <c r="C14" s="12"/>
      <c r="D14" s="12"/>
      <c r="E14" s="12"/>
      <c r="F14" s="12"/>
      <c r="G14" s="12"/>
      <c r="H14" s="12"/>
      <c r="I14" s="12"/>
      <c r="J14" s="12"/>
      <c r="K14" s="12"/>
      <c r="Y14" s="287"/>
      <c r="Z14" s="287"/>
      <c r="AA14" s="242"/>
    </row>
    <row r="15" spans="2:27" s="1" customFormat="1" ht="19.5" customHeight="1">
      <c r="B15" s="241"/>
      <c r="C15" s="1" t="s">
        <v>1135</v>
      </c>
      <c r="D15" s="12"/>
      <c r="E15" s="12"/>
      <c r="F15" s="12"/>
      <c r="G15" s="12"/>
      <c r="H15" s="12"/>
      <c r="I15" s="12"/>
      <c r="J15" s="12"/>
      <c r="M15" s="12"/>
      <c r="N15" s="12"/>
      <c r="O15" s="12"/>
      <c r="Y15" s="287"/>
      <c r="Z15" s="287"/>
      <c r="AA15" s="242"/>
    </row>
    <row r="16" spans="2:27" s="1" customFormat="1" ht="19.5" customHeight="1">
      <c r="B16" s="241"/>
      <c r="C16" s="1161" t="s">
        <v>1136</v>
      </c>
      <c r="D16" s="1161"/>
      <c r="E16" s="1161"/>
      <c r="F16" s="1161"/>
      <c r="G16" s="1161" t="s">
        <v>1137</v>
      </c>
      <c r="H16" s="1161"/>
      <c r="I16" s="1161"/>
      <c r="J16" s="1161"/>
      <c r="K16" s="1161"/>
      <c r="L16" s="1161" t="s">
        <v>1138</v>
      </c>
      <c r="M16" s="1161"/>
      <c r="N16" s="1161"/>
      <c r="O16" s="1161"/>
      <c r="P16" s="1161"/>
      <c r="Q16" s="1161" t="s">
        <v>1139</v>
      </c>
      <c r="R16" s="1161"/>
      <c r="S16" s="1161"/>
      <c r="T16" s="1161"/>
      <c r="U16" s="1161"/>
      <c r="V16" s="1161" t="s">
        <v>1140</v>
      </c>
      <c r="W16" s="1161"/>
      <c r="X16" s="1161"/>
      <c r="Y16" s="1161"/>
      <c r="Z16" s="1161"/>
      <c r="AA16" s="242"/>
    </row>
    <row r="17" spans="2:27" s="1" customFormat="1" ht="19.5" customHeight="1">
      <c r="B17" s="241"/>
      <c r="C17" s="904" t="s">
        <v>1141</v>
      </c>
      <c r="D17" s="905"/>
      <c r="E17" s="905"/>
      <c r="F17" s="906"/>
      <c r="G17" s="904"/>
      <c r="H17" s="905"/>
      <c r="I17" s="905"/>
      <c r="J17" s="905"/>
      <c r="K17" s="906"/>
      <c r="L17" s="904"/>
      <c r="M17" s="905"/>
      <c r="N17" s="905"/>
      <c r="O17" s="905"/>
      <c r="P17" s="906"/>
      <c r="Q17" s="904"/>
      <c r="R17" s="905"/>
      <c r="S17" s="905"/>
      <c r="T17" s="905"/>
      <c r="U17" s="906"/>
      <c r="V17" s="904"/>
      <c r="W17" s="905"/>
      <c r="X17" s="905"/>
      <c r="Y17" s="905"/>
      <c r="Z17" s="906"/>
      <c r="AA17" s="242"/>
    </row>
    <row r="18" spans="2:27" s="1" customFormat="1" ht="4.5" customHeight="1">
      <c r="B18" s="241"/>
      <c r="C18" s="12"/>
      <c r="D18" s="12"/>
      <c r="E18" s="12"/>
      <c r="F18" s="12"/>
      <c r="G18" s="12"/>
      <c r="H18" s="12"/>
      <c r="I18" s="12"/>
      <c r="J18" s="12"/>
      <c r="K18" s="12"/>
      <c r="L18" s="12"/>
      <c r="M18" s="12"/>
      <c r="N18" s="12"/>
      <c r="O18" s="12"/>
      <c r="P18" s="12"/>
      <c r="Q18" s="12"/>
      <c r="R18" s="12"/>
      <c r="S18" s="12"/>
      <c r="T18" s="12"/>
      <c r="U18" s="12"/>
      <c r="V18" s="12"/>
      <c r="W18" s="12"/>
      <c r="X18" s="12"/>
      <c r="Y18" s="12"/>
      <c r="Z18" s="12"/>
      <c r="AA18" s="242"/>
    </row>
    <row r="19" spans="2:27" s="1" customFormat="1" ht="19.5" customHeight="1">
      <c r="B19" s="241"/>
      <c r="C19" s="1" t="s">
        <v>1142</v>
      </c>
      <c r="D19" s="12"/>
      <c r="E19" s="12"/>
      <c r="F19" s="12"/>
      <c r="G19" s="12"/>
      <c r="H19" s="12"/>
      <c r="I19" s="12"/>
      <c r="J19" s="12"/>
      <c r="M19" s="12"/>
      <c r="N19" s="12"/>
      <c r="O19" s="12"/>
      <c r="Y19" s="287"/>
      <c r="Z19" s="287"/>
      <c r="AA19" s="242"/>
    </row>
    <row r="20" spans="2:27" s="1" customFormat="1" ht="19.5" customHeight="1">
      <c r="B20" s="241"/>
      <c r="C20" s="1161" t="s">
        <v>1136</v>
      </c>
      <c r="D20" s="1161"/>
      <c r="E20" s="1161"/>
      <c r="F20" s="1161"/>
      <c r="G20" s="1161" t="s">
        <v>1137</v>
      </c>
      <c r="H20" s="1161"/>
      <c r="I20" s="1161"/>
      <c r="J20" s="1161"/>
      <c r="K20" s="1161"/>
      <c r="L20" s="1161" t="s">
        <v>1138</v>
      </c>
      <c r="M20" s="1161"/>
      <c r="N20" s="1161"/>
      <c r="O20" s="1161"/>
      <c r="P20" s="1161"/>
      <c r="Q20" s="1161" t="s">
        <v>1139</v>
      </c>
      <c r="R20" s="1161"/>
      <c r="S20" s="1161"/>
      <c r="T20" s="1161"/>
      <c r="U20" s="1161"/>
      <c r="V20" s="1161" t="s">
        <v>1140</v>
      </c>
      <c r="W20" s="1161"/>
      <c r="X20" s="1161"/>
      <c r="Y20" s="1161"/>
      <c r="Z20" s="1161"/>
      <c r="AA20" s="242"/>
    </row>
    <row r="21" spans="2:27" s="1" customFormat="1" ht="19.5" customHeight="1">
      <c r="B21" s="241"/>
      <c r="C21" s="904" t="s">
        <v>1141</v>
      </c>
      <c r="D21" s="905"/>
      <c r="E21" s="905"/>
      <c r="F21" s="906"/>
      <c r="G21" s="904"/>
      <c r="H21" s="905"/>
      <c r="I21" s="905"/>
      <c r="J21" s="905"/>
      <c r="K21" s="906"/>
      <c r="L21" s="904"/>
      <c r="M21" s="905"/>
      <c r="N21" s="905"/>
      <c r="O21" s="905"/>
      <c r="P21" s="906"/>
      <c r="Q21" s="904"/>
      <c r="R21" s="905"/>
      <c r="S21" s="905"/>
      <c r="T21" s="905"/>
      <c r="U21" s="906"/>
      <c r="V21" s="904"/>
      <c r="W21" s="905"/>
      <c r="X21" s="905"/>
      <c r="Y21" s="905"/>
      <c r="Z21" s="906"/>
      <c r="AA21" s="242"/>
    </row>
    <row r="22" spans="2:27" s="1" customFormat="1" ht="9.75" customHeight="1">
      <c r="B22" s="241"/>
      <c r="C22" s="12"/>
      <c r="D22" s="12"/>
      <c r="E22" s="12"/>
      <c r="F22" s="12"/>
      <c r="G22" s="12"/>
      <c r="H22" s="12"/>
      <c r="I22" s="12"/>
      <c r="J22" s="12"/>
      <c r="K22" s="12"/>
      <c r="L22" s="12"/>
      <c r="M22" s="12"/>
      <c r="N22" s="12"/>
      <c r="O22" s="12"/>
      <c r="P22" s="12"/>
      <c r="Q22" s="12"/>
      <c r="R22" s="12"/>
      <c r="S22" s="12"/>
      <c r="T22" s="12"/>
      <c r="U22" s="12"/>
      <c r="V22" s="12"/>
      <c r="W22" s="12"/>
      <c r="X22" s="12"/>
      <c r="Y22" s="12"/>
      <c r="Z22" s="12"/>
      <c r="AA22" s="242"/>
    </row>
    <row r="23" spans="2:27" s="1" customFormat="1" ht="19.5" customHeight="1">
      <c r="B23" s="241"/>
      <c r="C23" s="12"/>
      <c r="D23" s="8" t="s">
        <v>1143</v>
      </c>
      <c r="E23" s="387"/>
      <c r="F23" s="387"/>
      <c r="G23" s="387"/>
      <c r="H23" s="387"/>
      <c r="I23" s="387"/>
      <c r="J23" s="387"/>
      <c r="K23" s="387"/>
      <c r="L23" s="387"/>
      <c r="M23" s="387"/>
      <c r="N23" s="387"/>
      <c r="O23" s="387"/>
      <c r="P23" s="387"/>
      <c r="Q23" s="387"/>
      <c r="R23" s="387"/>
      <c r="S23" s="387"/>
      <c r="T23" s="387"/>
      <c r="U23" s="555"/>
      <c r="V23" s="12"/>
      <c r="W23" s="12"/>
      <c r="X23" s="12"/>
      <c r="Y23" s="12"/>
      <c r="Z23" s="12"/>
      <c r="AA23" s="242"/>
    </row>
    <row r="24" spans="2:27" s="1" customFormat="1" ht="7.5" customHeight="1">
      <c r="B24" s="241"/>
      <c r="C24" s="12"/>
      <c r="E24" s="12"/>
      <c r="F24" s="12"/>
      <c r="G24" s="12"/>
      <c r="H24" s="12"/>
      <c r="I24" s="12"/>
      <c r="J24" s="12"/>
      <c r="K24" s="12"/>
      <c r="L24" s="12"/>
      <c r="M24" s="12"/>
      <c r="N24" s="12"/>
      <c r="O24" s="12"/>
      <c r="P24" s="12"/>
      <c r="Q24" s="12"/>
      <c r="R24" s="12"/>
      <c r="S24" s="12"/>
      <c r="T24" s="12"/>
      <c r="U24" s="556"/>
      <c r="V24" s="12"/>
      <c r="W24" s="12"/>
      <c r="X24" s="12"/>
      <c r="Y24" s="12"/>
      <c r="Z24" s="12"/>
      <c r="AA24" s="242"/>
    </row>
    <row r="25" spans="2:27" s="1" customFormat="1" ht="19.5" customHeight="1">
      <c r="B25" s="241"/>
      <c r="C25" s="1" t="s">
        <v>1144</v>
      </c>
      <c r="D25" s="12"/>
      <c r="E25" s="12"/>
      <c r="F25" s="12"/>
      <c r="G25" s="12"/>
      <c r="H25" s="12"/>
      <c r="I25" s="12"/>
      <c r="J25" s="12"/>
      <c r="K25" s="12"/>
      <c r="L25" s="12"/>
      <c r="M25" s="12"/>
      <c r="N25" s="12"/>
      <c r="O25" s="12"/>
      <c r="Y25" s="287"/>
      <c r="Z25" s="287"/>
      <c r="AA25" s="242"/>
    </row>
    <row r="26" spans="2:27" s="1" customFormat="1" ht="19.5" customHeight="1">
      <c r="B26" s="241"/>
      <c r="C26" s="1161" t="s">
        <v>1136</v>
      </c>
      <c r="D26" s="1161"/>
      <c r="E26" s="1161"/>
      <c r="F26" s="1161"/>
      <c r="G26" s="1161" t="s">
        <v>1145</v>
      </c>
      <c r="H26" s="1161"/>
      <c r="I26" s="1161"/>
      <c r="J26" s="1161"/>
      <c r="K26" s="1161"/>
      <c r="L26" s="1161" t="s">
        <v>1146</v>
      </c>
      <c r="M26" s="1161"/>
      <c r="N26" s="1161"/>
      <c r="O26" s="1161"/>
      <c r="P26" s="1161"/>
      <c r="Q26" s="1161" t="s">
        <v>1147</v>
      </c>
      <c r="R26" s="1161"/>
      <c r="S26" s="1161"/>
      <c r="T26" s="1161"/>
      <c r="U26" s="1161"/>
      <c r="V26" s="1161" t="s">
        <v>1148</v>
      </c>
      <c r="W26" s="1161"/>
      <c r="X26" s="1161"/>
      <c r="Y26" s="1161"/>
      <c r="Z26" s="1161"/>
      <c r="AA26" s="242"/>
    </row>
    <row r="27" spans="2:27" s="1" customFormat="1" ht="19.5" customHeight="1">
      <c r="B27" s="241"/>
      <c r="C27" s="904" t="s">
        <v>1141</v>
      </c>
      <c r="D27" s="905"/>
      <c r="E27" s="905"/>
      <c r="F27" s="906"/>
      <c r="G27" s="904"/>
      <c r="H27" s="905"/>
      <c r="I27" s="905"/>
      <c r="J27" s="905"/>
      <c r="K27" s="906"/>
      <c r="L27" s="904"/>
      <c r="M27" s="905"/>
      <c r="N27" s="905"/>
      <c r="O27" s="905"/>
      <c r="P27" s="906"/>
      <c r="Q27" s="904"/>
      <c r="R27" s="905"/>
      <c r="S27" s="905"/>
      <c r="T27" s="905"/>
      <c r="U27" s="906"/>
      <c r="V27" s="904"/>
      <c r="W27" s="905"/>
      <c r="X27" s="905"/>
      <c r="Y27" s="905"/>
      <c r="Z27" s="906"/>
      <c r="AA27" s="242"/>
    </row>
    <row r="28" spans="2:27" s="1" customFormat="1" ht="6.75" customHeight="1">
      <c r="B28" s="241"/>
      <c r="D28" s="12"/>
      <c r="E28" s="12"/>
      <c r="F28" s="12"/>
      <c r="G28" s="12"/>
      <c r="H28" s="12"/>
      <c r="I28" s="12"/>
      <c r="J28" s="12"/>
      <c r="K28" s="12"/>
      <c r="L28" s="12"/>
      <c r="M28" s="12"/>
      <c r="N28" s="12"/>
      <c r="O28" s="12"/>
      <c r="Y28" s="367"/>
      <c r="Z28" s="367"/>
      <c r="AA28" s="242"/>
    </row>
    <row r="29" spans="2:27" s="1" customFormat="1" ht="19.5" customHeight="1">
      <c r="B29" s="241"/>
      <c r="C29" s="1" t="s">
        <v>1149</v>
      </c>
      <c r="D29" s="12"/>
      <c r="E29" s="12"/>
      <c r="F29" s="12"/>
      <c r="G29" s="12"/>
      <c r="H29" s="12"/>
      <c r="I29" s="12"/>
      <c r="J29" s="12"/>
      <c r="K29" s="12"/>
      <c r="L29" s="12"/>
      <c r="M29" s="12"/>
      <c r="N29" s="12"/>
      <c r="O29" s="12"/>
      <c r="Y29" s="287"/>
      <c r="Z29" s="287"/>
      <c r="AA29" s="242"/>
    </row>
    <row r="30" spans="2:27" s="1" customFormat="1" ht="19.5" customHeight="1">
      <c r="B30" s="241"/>
      <c r="C30" s="1161" t="s">
        <v>1136</v>
      </c>
      <c r="D30" s="1161"/>
      <c r="E30" s="1161"/>
      <c r="F30" s="1161"/>
      <c r="G30" s="1161" t="s">
        <v>1145</v>
      </c>
      <c r="H30" s="1161"/>
      <c r="I30" s="1161"/>
      <c r="J30" s="1161"/>
      <c r="K30" s="1161"/>
      <c r="L30" s="1161" t="s">
        <v>1146</v>
      </c>
      <c r="M30" s="1161"/>
      <c r="N30" s="1161"/>
      <c r="O30" s="1161"/>
      <c r="P30" s="1161"/>
      <c r="Q30" s="1161" t="s">
        <v>1147</v>
      </c>
      <c r="R30" s="1161"/>
      <c r="S30" s="1161"/>
      <c r="T30" s="1161"/>
      <c r="U30" s="1161"/>
      <c r="V30" s="1161" t="s">
        <v>1148</v>
      </c>
      <c r="W30" s="1161"/>
      <c r="X30" s="1161"/>
      <c r="Y30" s="1161"/>
      <c r="Z30" s="1161"/>
      <c r="AA30" s="242"/>
    </row>
    <row r="31" spans="2:27" s="1" customFormat="1" ht="19.5" customHeight="1">
      <c r="B31" s="241"/>
      <c r="C31" s="904" t="s">
        <v>1141</v>
      </c>
      <c r="D31" s="905"/>
      <c r="E31" s="905"/>
      <c r="F31" s="906"/>
      <c r="G31" s="904"/>
      <c r="H31" s="905"/>
      <c r="I31" s="905"/>
      <c r="J31" s="905"/>
      <c r="K31" s="906"/>
      <c r="L31" s="904"/>
      <c r="M31" s="905"/>
      <c r="N31" s="905"/>
      <c r="O31" s="905"/>
      <c r="P31" s="906"/>
      <c r="Q31" s="904"/>
      <c r="R31" s="905"/>
      <c r="S31" s="905"/>
      <c r="T31" s="905"/>
      <c r="U31" s="906"/>
      <c r="V31" s="904"/>
      <c r="W31" s="905"/>
      <c r="X31" s="905"/>
      <c r="Y31" s="905"/>
      <c r="Z31" s="906"/>
      <c r="AA31" s="242"/>
    </row>
    <row r="32" spans="2:27" s="1" customFormat="1" ht="6.75" customHeight="1">
      <c r="B32" s="241"/>
      <c r="D32" s="12"/>
      <c r="E32" s="12"/>
      <c r="F32" s="12"/>
      <c r="G32" s="12"/>
      <c r="H32" s="12"/>
      <c r="I32" s="12"/>
      <c r="J32" s="12"/>
      <c r="K32" s="12"/>
      <c r="L32" s="12"/>
      <c r="M32" s="12"/>
      <c r="N32" s="12"/>
      <c r="O32" s="12"/>
      <c r="Y32" s="367"/>
      <c r="Z32" s="367"/>
      <c r="AA32" s="242"/>
    </row>
    <row r="33" spans="2:27" s="1" customFormat="1" ht="19.5" customHeight="1">
      <c r="B33" s="241"/>
      <c r="C33" s="12"/>
      <c r="D33" s="8" t="s">
        <v>1143</v>
      </c>
      <c r="E33" s="387"/>
      <c r="F33" s="387"/>
      <c r="G33" s="387"/>
      <c r="H33" s="387"/>
      <c r="I33" s="387"/>
      <c r="J33" s="387"/>
      <c r="K33" s="387"/>
      <c r="L33" s="387"/>
      <c r="M33" s="387"/>
      <c r="N33" s="387"/>
      <c r="O33" s="387"/>
      <c r="P33" s="387"/>
      <c r="Q33" s="387"/>
      <c r="R33" s="387"/>
      <c r="S33" s="387"/>
      <c r="T33" s="387"/>
      <c r="U33" s="555"/>
      <c r="V33" s="12"/>
      <c r="W33" s="12"/>
      <c r="X33" s="12"/>
      <c r="Y33" s="12"/>
      <c r="Z33" s="12"/>
      <c r="AA33" s="242"/>
    </row>
    <row r="34" spans="2:27" s="1" customFormat="1" ht="6" customHeight="1">
      <c r="B34" s="241"/>
      <c r="C34" s="12"/>
      <c r="D34" s="12"/>
      <c r="E34" s="12"/>
      <c r="F34" s="12"/>
      <c r="G34" s="12"/>
      <c r="H34" s="12"/>
      <c r="I34" s="12"/>
      <c r="J34" s="12"/>
      <c r="K34" s="12"/>
      <c r="L34" s="2"/>
      <c r="M34" s="12"/>
      <c r="N34" s="12"/>
      <c r="O34" s="12"/>
      <c r="P34" s="12"/>
      <c r="Q34" s="12"/>
      <c r="R34" s="12"/>
      <c r="S34" s="12"/>
      <c r="T34" s="12"/>
      <c r="U34" s="12"/>
      <c r="V34" s="2"/>
      <c r="W34" s="2"/>
      <c r="X34" s="2"/>
      <c r="Y34" s="2"/>
      <c r="Z34" s="2"/>
      <c r="AA34" s="242"/>
    </row>
    <row r="35" spans="2:27" s="1" customFormat="1" ht="19.5" customHeight="1">
      <c r="B35" s="241"/>
      <c r="C35" s="8" t="s">
        <v>1150</v>
      </c>
      <c r="D35" s="8"/>
      <c r="E35" s="387"/>
      <c r="F35" s="387"/>
      <c r="G35" s="387"/>
      <c r="H35" s="387"/>
      <c r="I35" s="387"/>
      <c r="J35" s="387"/>
      <c r="K35" s="387"/>
      <c r="L35" s="387"/>
      <c r="M35" s="387"/>
      <c r="N35" s="387"/>
      <c r="O35" s="387"/>
      <c r="P35" s="387"/>
      <c r="Q35" s="387"/>
      <c r="R35" s="387"/>
      <c r="S35" s="387"/>
      <c r="T35" s="387"/>
      <c r="U35" s="555"/>
      <c r="V35" s="12"/>
      <c r="W35" s="12"/>
      <c r="X35" s="12"/>
      <c r="Y35" s="12"/>
      <c r="Z35" s="12"/>
      <c r="AA35" s="242"/>
    </row>
    <row r="36" spans="2:27" s="1" customFormat="1" ht="9" customHeight="1">
      <c r="B36" s="241"/>
      <c r="D36" s="12"/>
      <c r="E36" s="12"/>
      <c r="F36" s="12"/>
      <c r="G36" s="12"/>
      <c r="H36" s="12"/>
      <c r="I36" s="12"/>
      <c r="J36" s="12"/>
      <c r="K36" s="12"/>
      <c r="L36" s="12"/>
      <c r="M36" s="12"/>
      <c r="N36" s="12"/>
      <c r="O36" s="12"/>
      <c r="Y36" s="367"/>
      <c r="Z36" s="367"/>
      <c r="AA36" s="242"/>
    </row>
    <row r="37" spans="2:27" s="1" customFormat="1">
      <c r="B37" s="241"/>
      <c r="C37" s="1" t="s">
        <v>1151</v>
      </c>
      <c r="D37" s="12"/>
      <c r="E37" s="12"/>
      <c r="F37" s="12"/>
      <c r="G37" s="12"/>
      <c r="H37" s="12"/>
      <c r="I37" s="12"/>
      <c r="J37" s="12"/>
      <c r="K37" s="12"/>
      <c r="L37" s="12"/>
      <c r="M37" s="12"/>
      <c r="N37" s="12"/>
      <c r="O37" s="12"/>
      <c r="Y37" s="367"/>
      <c r="Z37" s="367"/>
      <c r="AA37" s="242"/>
    </row>
    <row r="38" spans="2:27" s="1" customFormat="1" ht="19.5" customHeight="1">
      <c r="B38" s="241"/>
      <c r="C38" s="1161" t="s">
        <v>1152</v>
      </c>
      <c r="D38" s="1161"/>
      <c r="E38" s="1161"/>
      <c r="F38" s="1161"/>
      <c r="G38" s="1215" t="s">
        <v>1153</v>
      </c>
      <c r="H38" s="1216"/>
      <c r="I38" s="1216"/>
      <c r="J38" s="1216"/>
      <c r="K38" s="1217"/>
      <c r="L38" s="1215" t="s">
        <v>1154</v>
      </c>
      <c r="M38" s="1216"/>
      <c r="N38" s="1216"/>
      <c r="O38" s="1216"/>
      <c r="P38" s="1217"/>
      <c r="Q38" s="2"/>
      <c r="R38" s="2"/>
      <c r="S38" s="2"/>
      <c r="T38" s="2"/>
      <c r="U38" s="2"/>
      <c r="V38" s="2"/>
      <c r="W38" s="2"/>
      <c r="X38" s="2"/>
      <c r="Y38" s="2"/>
      <c r="Z38" s="2"/>
      <c r="AA38" s="242"/>
    </row>
    <row r="39" spans="2:27" s="1" customFormat="1" ht="19.5" customHeight="1">
      <c r="B39" s="241"/>
      <c r="C39" s="904" t="s">
        <v>1155</v>
      </c>
      <c r="D39" s="905"/>
      <c r="E39" s="905"/>
      <c r="F39" s="906"/>
      <c r="G39" s="904"/>
      <c r="H39" s="905"/>
      <c r="I39" s="905"/>
      <c r="J39" s="905"/>
      <c r="K39" s="906"/>
      <c r="L39" s="904"/>
      <c r="M39" s="905"/>
      <c r="N39" s="905"/>
      <c r="O39" s="905"/>
      <c r="P39" s="906"/>
      <c r="Q39" s="2"/>
      <c r="R39" s="2"/>
      <c r="S39" s="2"/>
      <c r="T39" s="2"/>
      <c r="U39" s="2"/>
      <c r="V39" s="2"/>
      <c r="W39" s="2"/>
      <c r="X39" s="2"/>
      <c r="Y39" s="2"/>
      <c r="Z39" s="2"/>
      <c r="AA39" s="242"/>
    </row>
    <row r="40" spans="2:27" s="1" customFormat="1" ht="9" customHeight="1">
      <c r="B40" s="241"/>
      <c r="C40" s="12"/>
      <c r="D40" s="12"/>
      <c r="E40" s="12"/>
      <c r="F40" s="12"/>
      <c r="G40" s="12"/>
      <c r="H40" s="12"/>
      <c r="I40" s="12"/>
      <c r="J40" s="12"/>
      <c r="K40" s="12"/>
      <c r="L40" s="2"/>
      <c r="M40" s="12"/>
      <c r="N40" s="12"/>
      <c r="O40" s="12"/>
      <c r="P40" s="12"/>
      <c r="Q40" s="12"/>
      <c r="R40" s="12"/>
      <c r="S40" s="12"/>
      <c r="T40" s="12"/>
      <c r="U40" s="12"/>
      <c r="V40" s="2"/>
      <c r="W40" s="2"/>
      <c r="X40" s="2"/>
      <c r="Y40" s="2"/>
      <c r="Z40" s="2"/>
      <c r="AA40" s="242"/>
    </row>
    <row r="41" spans="2:27" s="1" customFormat="1" ht="19.5" customHeight="1">
      <c r="B41" s="241"/>
      <c r="C41" s="1161" t="s">
        <v>1152</v>
      </c>
      <c r="D41" s="1161"/>
      <c r="E41" s="1161"/>
      <c r="F41" s="1161"/>
      <c r="G41" s="1215" t="s">
        <v>1156</v>
      </c>
      <c r="H41" s="1216"/>
      <c r="I41" s="1216"/>
      <c r="J41" s="1216"/>
      <c r="K41" s="1217"/>
      <c r="L41" s="1215" t="s">
        <v>1157</v>
      </c>
      <c r="M41" s="1216"/>
      <c r="N41" s="1216"/>
      <c r="O41" s="1216"/>
      <c r="P41" s="1217"/>
      <c r="Q41" s="2"/>
      <c r="R41" s="2"/>
      <c r="S41" s="2"/>
      <c r="T41" s="2"/>
      <c r="U41" s="2"/>
      <c r="V41" s="2"/>
      <c r="W41" s="2"/>
      <c r="X41" s="2"/>
      <c r="Y41" s="2"/>
      <c r="Z41" s="2"/>
      <c r="AA41" s="242"/>
    </row>
    <row r="42" spans="2:27" s="1" customFormat="1" ht="19.5" customHeight="1">
      <c r="B42" s="241"/>
      <c r="C42" s="904" t="s">
        <v>1158</v>
      </c>
      <c r="D42" s="905"/>
      <c r="E42" s="905"/>
      <c r="F42" s="906"/>
      <c r="G42" s="904"/>
      <c r="H42" s="905"/>
      <c r="I42" s="905"/>
      <c r="J42" s="905"/>
      <c r="K42" s="906"/>
      <c r="L42" s="904"/>
      <c r="M42" s="905"/>
      <c r="N42" s="905"/>
      <c r="O42" s="905"/>
      <c r="P42" s="906"/>
      <c r="Q42" s="2"/>
      <c r="R42" s="2"/>
      <c r="S42" s="2"/>
      <c r="T42" s="2"/>
      <c r="U42" s="2"/>
      <c r="V42" s="2"/>
      <c r="W42" s="2"/>
      <c r="X42" s="2"/>
      <c r="Y42" s="2"/>
      <c r="Z42" s="2"/>
      <c r="AA42" s="242"/>
    </row>
    <row r="43" spans="2:27" s="1" customFormat="1" ht="6" customHeight="1">
      <c r="B43" s="241"/>
      <c r="C43" s="12"/>
      <c r="D43" s="12"/>
      <c r="E43" s="12"/>
      <c r="F43" s="12"/>
      <c r="G43" s="12"/>
      <c r="H43" s="12"/>
      <c r="I43" s="12"/>
      <c r="J43" s="12"/>
      <c r="K43" s="12"/>
      <c r="L43" s="2"/>
      <c r="M43" s="12"/>
      <c r="N43" s="12"/>
      <c r="O43" s="12"/>
      <c r="P43" s="12"/>
      <c r="Q43" s="12"/>
      <c r="R43" s="12"/>
      <c r="S43" s="12"/>
      <c r="T43" s="12"/>
      <c r="U43" s="12"/>
      <c r="V43" s="2"/>
      <c r="W43" s="2"/>
      <c r="X43" s="2"/>
      <c r="Y43" s="2"/>
      <c r="Z43" s="2"/>
      <c r="AA43" s="242"/>
    </row>
    <row r="44" spans="2:27" s="1" customFormat="1" ht="17.25" customHeight="1">
      <c r="B44" s="241"/>
      <c r="C44" s="1" t="s">
        <v>1159</v>
      </c>
      <c r="D44" s="12"/>
      <c r="E44" s="12"/>
      <c r="F44" s="12"/>
      <c r="G44" s="12"/>
      <c r="H44" s="12"/>
      <c r="I44" s="12"/>
      <c r="J44" s="12"/>
      <c r="K44" s="12"/>
      <c r="L44" s="12"/>
      <c r="M44" s="12"/>
      <c r="N44" s="12"/>
      <c r="O44" s="12"/>
      <c r="Y44" s="287"/>
      <c r="Z44" s="287"/>
      <c r="AA44" s="242"/>
    </row>
    <row r="45" spans="2:27" s="1" customFormat="1" ht="4.5" customHeight="1">
      <c r="B45" s="241"/>
      <c r="D45" s="12"/>
      <c r="E45" s="12"/>
      <c r="F45" s="12"/>
      <c r="G45" s="12"/>
      <c r="H45" s="12"/>
      <c r="I45" s="12"/>
      <c r="J45" s="12"/>
      <c r="K45" s="12"/>
      <c r="L45" s="12"/>
      <c r="M45" s="12"/>
      <c r="N45" s="12"/>
      <c r="O45" s="12"/>
      <c r="Y45" s="287"/>
      <c r="Z45" s="287"/>
      <c r="AA45" s="242"/>
    </row>
    <row r="46" spans="2:27" s="1" customFormat="1" ht="16.5" customHeight="1">
      <c r="B46" s="241"/>
      <c r="C46" s="12"/>
      <c r="D46" s="1213" t="s">
        <v>1160</v>
      </c>
      <c r="E46" s="1213"/>
      <c r="F46" s="1213"/>
      <c r="G46" s="1213"/>
      <c r="H46" s="1213"/>
      <c r="I46" s="1213"/>
      <c r="J46" s="1213"/>
      <c r="K46" s="1213"/>
      <c r="L46" s="1213"/>
      <c r="M46" s="1213"/>
      <c r="N46" s="1213"/>
      <c r="O46" s="1213"/>
      <c r="P46" s="1213"/>
      <c r="Q46" s="1213"/>
      <c r="R46" s="1213"/>
      <c r="S46" s="1213"/>
      <c r="T46" s="1213"/>
      <c r="U46" s="555"/>
      <c r="V46" s="12"/>
      <c r="W46" s="12"/>
      <c r="X46" s="12"/>
      <c r="Y46" s="12"/>
      <c r="Z46" s="12"/>
      <c r="AA46" s="242"/>
    </row>
    <row r="47" spans="2:27" s="1" customFormat="1" ht="6" customHeight="1">
      <c r="B47" s="241"/>
      <c r="C47" s="12"/>
      <c r="D47" s="12"/>
      <c r="E47" s="12"/>
      <c r="F47" s="12"/>
      <c r="G47" s="12"/>
      <c r="H47" s="12"/>
      <c r="I47" s="12"/>
      <c r="J47" s="12"/>
      <c r="K47" s="12"/>
      <c r="L47" s="2"/>
      <c r="M47" s="12"/>
      <c r="N47" s="12"/>
      <c r="O47" s="12"/>
      <c r="P47" s="12"/>
      <c r="Q47" s="12"/>
      <c r="R47" s="12"/>
      <c r="S47" s="12"/>
      <c r="T47" s="12"/>
      <c r="U47" s="12"/>
      <c r="V47" s="2"/>
      <c r="W47" s="2"/>
      <c r="X47" s="2"/>
      <c r="Y47" s="2"/>
      <c r="Z47" s="2"/>
      <c r="AA47" s="242"/>
    </row>
    <row r="48" spans="2:27" s="1" customFormat="1" ht="19.5" customHeight="1">
      <c r="B48" s="241"/>
      <c r="C48" s="1" t="s">
        <v>1161</v>
      </c>
      <c r="D48" s="12"/>
      <c r="E48" s="12"/>
      <c r="F48" s="12"/>
      <c r="G48" s="12"/>
      <c r="H48" s="12"/>
      <c r="I48" s="12"/>
      <c r="J48" s="12"/>
      <c r="K48" s="12"/>
      <c r="L48" s="2"/>
      <c r="M48" s="12"/>
      <c r="N48" s="12"/>
      <c r="O48" s="12"/>
      <c r="P48" s="12"/>
      <c r="Q48" s="12"/>
      <c r="R48" s="12"/>
      <c r="S48" s="12"/>
      <c r="T48" s="12"/>
      <c r="U48" s="12"/>
      <c r="V48" s="2"/>
      <c r="W48" s="2"/>
      <c r="X48" s="2"/>
      <c r="Y48" s="2"/>
      <c r="Z48" s="2"/>
      <c r="AA48" s="242"/>
    </row>
    <row r="49" spans="2:27" s="1" customFormat="1" ht="19.5" customHeight="1">
      <c r="B49" s="241"/>
      <c r="C49" s="1161" t="s">
        <v>1152</v>
      </c>
      <c r="D49" s="1161"/>
      <c r="E49" s="1161"/>
      <c r="F49" s="1161"/>
      <c r="G49" s="1161" t="s">
        <v>1162</v>
      </c>
      <c r="H49" s="1161"/>
      <c r="I49" s="1161"/>
      <c r="J49" s="1161"/>
      <c r="K49" s="1161"/>
      <c r="L49" s="1161"/>
      <c r="M49" s="1161"/>
      <c r="N49" s="1161" t="s">
        <v>1163</v>
      </c>
      <c r="O49" s="1161"/>
      <c r="P49" s="1161"/>
      <c r="Q49" s="1161"/>
      <c r="R49" s="1161"/>
      <c r="S49" s="1161"/>
      <c r="T49" s="1161"/>
      <c r="U49" s="12"/>
      <c r="V49" s="2"/>
      <c r="W49" s="2"/>
      <c r="X49" s="2"/>
      <c r="Y49" s="2"/>
      <c r="Z49" s="2"/>
      <c r="AA49" s="242"/>
    </row>
    <row r="50" spans="2:27" s="1" customFormat="1" ht="19.5" customHeight="1">
      <c r="B50" s="241"/>
      <c r="C50" s="1170" t="s">
        <v>1164</v>
      </c>
      <c r="D50" s="1214"/>
      <c r="E50" s="1214"/>
      <c r="F50" s="1169"/>
      <c r="G50" s="1161"/>
      <c r="H50" s="1161"/>
      <c r="I50" s="1161"/>
      <c r="J50" s="1161"/>
      <c r="K50" s="1161"/>
      <c r="L50" s="1161"/>
      <c r="M50" s="1161"/>
      <c r="N50" s="1161"/>
      <c r="O50" s="1161"/>
      <c r="P50" s="1161"/>
      <c r="Q50" s="1161"/>
      <c r="R50" s="1161"/>
      <c r="S50" s="1161"/>
      <c r="T50" s="1161"/>
      <c r="U50" s="12"/>
      <c r="V50" s="2"/>
      <c r="W50" s="2"/>
      <c r="X50" s="2"/>
      <c r="Y50" s="2"/>
      <c r="Z50" s="2"/>
      <c r="AA50" s="242"/>
    </row>
    <row r="51" spans="2:27" s="1" customFormat="1" ht="19.5" customHeight="1">
      <c r="B51" s="241"/>
      <c r="C51" s="1212" t="s">
        <v>1165</v>
      </c>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242"/>
    </row>
    <row r="52" spans="2:27" s="1" customFormat="1" ht="16.5" customHeight="1">
      <c r="B52" s="241"/>
      <c r="C52" s="12"/>
      <c r="D52" s="1213" t="s">
        <v>1166</v>
      </c>
      <c r="E52" s="1213"/>
      <c r="F52" s="1213"/>
      <c r="G52" s="1213"/>
      <c r="H52" s="1213"/>
      <c r="I52" s="1213"/>
      <c r="J52" s="1213"/>
      <c r="K52" s="1213"/>
      <c r="L52" s="1213"/>
      <c r="M52" s="1213"/>
      <c r="N52" s="1213"/>
      <c r="O52" s="1213"/>
      <c r="P52" s="1213"/>
      <c r="Q52" s="1213"/>
      <c r="R52" s="1213"/>
      <c r="S52" s="1213"/>
      <c r="T52" s="1213"/>
      <c r="U52" s="555"/>
      <c r="V52" s="12"/>
      <c r="W52" s="12"/>
      <c r="X52" s="12"/>
      <c r="Y52" s="12"/>
      <c r="Z52" s="12"/>
      <c r="AA52" s="242"/>
    </row>
    <row r="53" spans="2:27" ht="6" customHeight="1">
      <c r="B53" s="388"/>
      <c r="C53" s="59"/>
      <c r="D53" s="59"/>
      <c r="E53" s="59"/>
      <c r="F53" s="59"/>
      <c r="G53" s="59"/>
      <c r="H53" s="59"/>
      <c r="I53" s="59"/>
      <c r="J53" s="59"/>
      <c r="K53" s="59"/>
      <c r="L53" s="59"/>
      <c r="M53" s="59"/>
      <c r="N53" s="59"/>
      <c r="O53" s="59"/>
      <c r="P53" s="59"/>
      <c r="Q53" s="59"/>
      <c r="R53" s="59"/>
      <c r="S53" s="59"/>
      <c r="T53" s="59"/>
      <c r="U53" s="59"/>
      <c r="V53" s="59"/>
      <c r="W53" s="59"/>
      <c r="X53" s="59"/>
      <c r="Y53" s="59"/>
      <c r="Z53" s="59"/>
      <c r="AA53" s="60"/>
    </row>
    <row r="54" spans="2:27" s="1" customFormat="1" ht="7.5" customHeight="1"/>
    <row r="55" spans="2:27" s="2" customFormat="1" ht="20.25" customHeight="1">
      <c r="B55" s="244" t="s">
        <v>1167</v>
      </c>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row>
    <row r="56" spans="2:27" s="2" customFormat="1" ht="14.25" customHeight="1">
      <c r="B56" s="296" t="s">
        <v>1168</v>
      </c>
      <c r="D56" s="244"/>
    </row>
    <row r="57" spans="2:27" s="2" customFormat="1" ht="14.25" customHeight="1">
      <c r="B57" s="296" t="s">
        <v>1169</v>
      </c>
      <c r="D57" s="244"/>
    </row>
    <row r="58" spans="2:27" s="2" customFormat="1" ht="14.25" customHeight="1">
      <c r="B58" s="296" t="s">
        <v>1170</v>
      </c>
      <c r="D58" s="244"/>
    </row>
    <row r="59" spans="2:27" s="2" customFormat="1" ht="14.25" customHeight="1">
      <c r="B59" s="296" t="s">
        <v>1171</v>
      </c>
      <c r="D59" s="244"/>
    </row>
    <row r="60" spans="2:27" s="2" customFormat="1" ht="14.25" customHeight="1">
      <c r="B60" s="296" t="s">
        <v>1172</v>
      </c>
      <c r="D60" s="244"/>
    </row>
    <row r="61" spans="2:27" ht="8.25" customHeight="1">
      <c r="B61" s="486"/>
      <c r="D61" s="298"/>
    </row>
    <row r="62" spans="2:27">
      <c r="B62" s="486"/>
      <c r="D62" s="298"/>
    </row>
    <row r="63" spans="2:27">
      <c r="B63" s="486"/>
      <c r="D63" s="298"/>
    </row>
  </sheetData>
  <mergeCells count="70">
    <mergeCell ref="C13:F13"/>
    <mergeCell ref="G13:K13"/>
    <mergeCell ref="M13:P13"/>
    <mergeCell ref="Q13:U13"/>
    <mergeCell ref="B4:AA4"/>
    <mergeCell ref="B6:F6"/>
    <mergeCell ref="G6:AA6"/>
    <mergeCell ref="C10:F10"/>
    <mergeCell ref="G10:K10"/>
    <mergeCell ref="C17:F17"/>
    <mergeCell ref="G17:K17"/>
    <mergeCell ref="L17:P17"/>
    <mergeCell ref="Q17:U17"/>
    <mergeCell ref="V17:Z17"/>
    <mergeCell ref="C16:F16"/>
    <mergeCell ref="G16:K16"/>
    <mergeCell ref="L16:P16"/>
    <mergeCell ref="Q16:U16"/>
    <mergeCell ref="V16:Z16"/>
    <mergeCell ref="C21:F21"/>
    <mergeCell ref="G21:K21"/>
    <mergeCell ref="L21:P21"/>
    <mergeCell ref="Q21:U21"/>
    <mergeCell ref="V21:Z21"/>
    <mergeCell ref="C20:F20"/>
    <mergeCell ref="G20:K20"/>
    <mergeCell ref="L20:P20"/>
    <mergeCell ref="Q20:U20"/>
    <mergeCell ref="V20:Z20"/>
    <mergeCell ref="C27:F27"/>
    <mergeCell ref="G27:K27"/>
    <mergeCell ref="L27:P27"/>
    <mergeCell ref="Q27:U27"/>
    <mergeCell ref="V27:Z27"/>
    <mergeCell ref="C26:F26"/>
    <mergeCell ref="G26:K26"/>
    <mergeCell ref="L26:P26"/>
    <mergeCell ref="Q26:U26"/>
    <mergeCell ref="V26:Z26"/>
    <mergeCell ref="C31:F31"/>
    <mergeCell ref="G31:K31"/>
    <mergeCell ref="L31:P31"/>
    <mergeCell ref="Q31:U31"/>
    <mergeCell ref="V31:Z31"/>
    <mergeCell ref="C30:F30"/>
    <mergeCell ref="G30:K30"/>
    <mergeCell ref="L30:P30"/>
    <mergeCell ref="Q30:U30"/>
    <mergeCell ref="V30:Z30"/>
    <mergeCell ref="C38:F38"/>
    <mergeCell ref="G38:K38"/>
    <mergeCell ref="L38:P38"/>
    <mergeCell ref="C39:F39"/>
    <mergeCell ref="G39:K39"/>
    <mergeCell ref="L39:P39"/>
    <mergeCell ref="C41:F41"/>
    <mergeCell ref="G41:K41"/>
    <mergeCell ref="L41:P41"/>
    <mergeCell ref="C42:F42"/>
    <mergeCell ref="G42:K42"/>
    <mergeCell ref="L42:P42"/>
    <mergeCell ref="C51:Z51"/>
    <mergeCell ref="D52:T52"/>
    <mergeCell ref="D46:T46"/>
    <mergeCell ref="C49:F49"/>
    <mergeCell ref="G49:M49"/>
    <mergeCell ref="N49:T49"/>
    <mergeCell ref="C50:F50"/>
    <mergeCell ref="G50:M50"/>
    <mergeCell ref="N50:T50"/>
  </mergeCells>
  <phoneticPr fontId="3"/>
  <printOptions horizontalCentered="1"/>
  <pageMargins left="0.70866141732283472" right="0.39370078740157483" top="0.51181102362204722" bottom="0.35433070866141736" header="0.31496062992125984" footer="0.31496062992125984"/>
  <pageSetup paperSize="9" scale="95" orientation="portrait" r:id="rId1"/>
  <headerFooter>
    <oddFooter>&amp;C1－&amp;P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20</xdr:col>
                    <xdr:colOff>30480</xdr:colOff>
                    <xdr:row>32</xdr:row>
                    <xdr:rowOff>0</xdr:rowOff>
                  </from>
                  <to>
                    <xdr:col>22</xdr:col>
                    <xdr:colOff>114300</xdr:colOff>
                    <xdr:row>32</xdr:row>
                    <xdr:rowOff>251460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20</xdr:col>
                    <xdr:colOff>30480</xdr:colOff>
                    <xdr:row>22</xdr:row>
                    <xdr:rowOff>0</xdr:rowOff>
                  </from>
                  <to>
                    <xdr:col>22</xdr:col>
                    <xdr:colOff>114300</xdr:colOff>
                    <xdr:row>22</xdr:row>
                    <xdr:rowOff>251460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20</xdr:col>
                    <xdr:colOff>30480</xdr:colOff>
                    <xdr:row>45</xdr:row>
                    <xdr:rowOff>0</xdr:rowOff>
                  </from>
                  <to>
                    <xdr:col>22</xdr:col>
                    <xdr:colOff>114300</xdr:colOff>
                    <xdr:row>46</xdr:row>
                    <xdr:rowOff>30480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20</xdr:col>
                    <xdr:colOff>30480</xdr:colOff>
                    <xdr:row>51</xdr:row>
                    <xdr:rowOff>0</xdr:rowOff>
                  </from>
                  <to>
                    <xdr:col>22</xdr:col>
                    <xdr:colOff>114300</xdr:colOff>
                    <xdr:row>52</xdr:row>
                    <xdr:rowOff>30480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20</xdr:col>
                    <xdr:colOff>30480</xdr:colOff>
                    <xdr:row>34</xdr:row>
                    <xdr:rowOff>0</xdr:rowOff>
                  </from>
                  <to>
                    <xdr:col>22</xdr:col>
                    <xdr:colOff>114300</xdr:colOff>
                    <xdr:row>34</xdr:row>
                    <xdr:rowOff>251460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2C881-A088-49B5-A17C-EFCCAC9DD9B8}">
  <sheetPr>
    <tabColor rgb="FFFFFF00"/>
    <pageSetUpPr fitToPage="1"/>
  </sheetPr>
  <dimension ref="B1:Z119"/>
  <sheetViews>
    <sheetView view="pageBreakPreview" zoomScaleNormal="70" zoomScaleSheetLayoutView="100" workbookViewId="0"/>
  </sheetViews>
  <sheetFormatPr defaultColWidth="3.44140625" defaultRowHeight="13.2"/>
  <cols>
    <col min="1" max="1" width="3.44140625" style="3"/>
    <col min="2" max="2" width="3" style="384"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row r="2" spans="2:26" s="1" customFormat="1">
      <c r="B2" s="1" t="s">
        <v>868</v>
      </c>
    </row>
    <row r="3" spans="2:26" s="1" customFormat="1"/>
    <row r="4" spans="2:26" s="1" customFormat="1">
      <c r="B4" s="899" t="s">
        <v>110</v>
      </c>
      <c r="C4" s="899"/>
      <c r="D4" s="899"/>
      <c r="E4" s="899"/>
      <c r="F4" s="899"/>
      <c r="G4" s="899"/>
      <c r="H4" s="899"/>
      <c r="I4" s="899"/>
      <c r="J4" s="899"/>
      <c r="K4" s="899"/>
      <c r="L4" s="899"/>
      <c r="M4" s="899"/>
      <c r="N4" s="899"/>
      <c r="O4" s="899"/>
      <c r="P4" s="899"/>
      <c r="Q4" s="899"/>
      <c r="R4" s="899"/>
      <c r="S4" s="899"/>
      <c r="T4" s="899"/>
      <c r="U4" s="899"/>
      <c r="V4" s="899"/>
      <c r="W4" s="899"/>
      <c r="X4" s="899"/>
      <c r="Y4" s="899"/>
      <c r="Z4" s="899"/>
    </row>
    <row r="5" spans="2:26" s="1" customFormat="1"/>
    <row r="6" spans="2:26" s="1" customFormat="1" ht="31.5" customHeight="1">
      <c r="B6" s="1161" t="s">
        <v>145</v>
      </c>
      <c r="C6" s="1161"/>
      <c r="D6" s="1161"/>
      <c r="E6" s="1161"/>
      <c r="F6" s="1161"/>
      <c r="G6" s="1162"/>
      <c r="H6" s="1163"/>
      <c r="I6" s="1163"/>
      <c r="J6" s="1163"/>
      <c r="K6" s="1163"/>
      <c r="L6" s="1163"/>
      <c r="M6" s="1163"/>
      <c r="N6" s="1163"/>
      <c r="O6" s="1163"/>
      <c r="P6" s="1163"/>
      <c r="Q6" s="1163"/>
      <c r="R6" s="1163"/>
      <c r="S6" s="1163"/>
      <c r="T6" s="1163"/>
      <c r="U6" s="1163"/>
      <c r="V6" s="1163"/>
      <c r="W6" s="1163"/>
      <c r="X6" s="1163"/>
      <c r="Y6" s="1163"/>
      <c r="Z6" s="1164"/>
    </row>
    <row r="7" spans="2:26" s="1" customFormat="1" ht="31.5" customHeight="1">
      <c r="B7" s="904" t="s">
        <v>63</v>
      </c>
      <c r="C7" s="905"/>
      <c r="D7" s="905"/>
      <c r="E7" s="905"/>
      <c r="F7" s="906"/>
      <c r="G7" s="410" t="s">
        <v>194</v>
      </c>
      <c r="H7" s="364" t="s">
        <v>840</v>
      </c>
      <c r="I7" s="364"/>
      <c r="J7" s="364"/>
      <c r="K7" s="364"/>
      <c r="L7" s="403" t="s">
        <v>194</v>
      </c>
      <c r="M7" s="364" t="s">
        <v>841</v>
      </c>
      <c r="N7" s="364"/>
      <c r="O7" s="364"/>
      <c r="P7" s="364"/>
      <c r="Q7" s="403" t="s">
        <v>194</v>
      </c>
      <c r="R7" s="364" t="s">
        <v>842</v>
      </c>
      <c r="S7" s="364"/>
      <c r="T7" s="364"/>
      <c r="U7" s="364"/>
      <c r="V7" s="364"/>
      <c r="W7" s="364"/>
      <c r="X7" s="364"/>
      <c r="Y7" s="364"/>
      <c r="Z7" s="365"/>
    </row>
    <row r="8" spans="2:26" ht="31.5" customHeight="1">
      <c r="B8" s="904" t="s">
        <v>94</v>
      </c>
      <c r="C8" s="905"/>
      <c r="D8" s="905"/>
      <c r="E8" s="905"/>
      <c r="F8" s="906"/>
      <c r="G8" s="410" t="s">
        <v>194</v>
      </c>
      <c r="H8" s="10" t="s">
        <v>843</v>
      </c>
      <c r="I8" s="10"/>
      <c r="J8" s="10"/>
      <c r="K8" s="10"/>
      <c r="L8" s="10"/>
      <c r="M8" s="10"/>
      <c r="N8" s="10"/>
      <c r="O8" s="10"/>
      <c r="P8" s="398" t="s">
        <v>194</v>
      </c>
      <c r="Q8" s="10" t="s">
        <v>844</v>
      </c>
      <c r="R8" s="10"/>
      <c r="S8" s="417"/>
      <c r="T8" s="417"/>
      <c r="U8" s="417"/>
      <c r="V8" s="417"/>
      <c r="W8" s="417"/>
      <c r="X8" s="417"/>
      <c r="Y8" s="417"/>
      <c r="Z8" s="418"/>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241" t="s">
        <v>111</v>
      </c>
      <c r="Z11" s="242"/>
    </row>
    <row r="12" spans="2:26" s="1" customFormat="1">
      <c r="B12" s="241"/>
      <c r="Z12" s="242"/>
    </row>
    <row r="13" spans="2:26" s="1" customFormat="1">
      <c r="B13" s="241"/>
      <c r="C13" s="1" t="s">
        <v>95</v>
      </c>
      <c r="Z13" s="242"/>
    </row>
    <row r="14" spans="2:26" s="1" customFormat="1" ht="6.75" customHeight="1">
      <c r="B14" s="241"/>
      <c r="Z14" s="242"/>
    </row>
    <row r="15" spans="2:26" s="1" customFormat="1" ht="26.25" customHeight="1">
      <c r="B15" s="241"/>
      <c r="C15" s="9" t="s">
        <v>147</v>
      </c>
      <c r="D15" s="10"/>
      <c r="E15" s="10"/>
      <c r="F15" s="10"/>
      <c r="G15" s="11"/>
      <c r="H15" s="9" t="s">
        <v>143</v>
      </c>
      <c r="I15" s="10"/>
      <c r="J15" s="10"/>
      <c r="K15" s="905"/>
      <c r="L15" s="905"/>
      <c r="M15" s="905"/>
      <c r="N15" s="348" t="s">
        <v>64</v>
      </c>
      <c r="O15" s="241"/>
      <c r="U15" s="12"/>
      <c r="Z15" s="242"/>
    </row>
    <row r="16" spans="2:26" s="1" customFormat="1">
      <c r="B16" s="241"/>
      <c r="L16" s="12"/>
      <c r="Q16" s="12"/>
      <c r="V16" s="12"/>
      <c r="Z16" s="242"/>
    </row>
    <row r="17" spans="2:26" s="1" customFormat="1">
      <c r="B17" s="241"/>
      <c r="C17" s="1" t="s">
        <v>74</v>
      </c>
      <c r="Z17" s="242"/>
    </row>
    <row r="18" spans="2:26" s="1" customFormat="1" ht="4.5" customHeight="1">
      <c r="B18" s="241"/>
      <c r="Z18" s="242"/>
    </row>
    <row r="19" spans="2:26" s="1" customFormat="1" ht="24" customHeight="1">
      <c r="B19" s="241"/>
      <c r="C19" s="904" t="s">
        <v>73</v>
      </c>
      <c r="D19" s="905"/>
      <c r="E19" s="905"/>
      <c r="F19" s="905"/>
      <c r="G19" s="905"/>
      <c r="H19" s="905"/>
      <c r="I19" s="905"/>
      <c r="J19" s="905"/>
      <c r="K19" s="905"/>
      <c r="L19" s="905"/>
      <c r="M19" s="905"/>
      <c r="N19" s="905"/>
      <c r="O19" s="906"/>
      <c r="P19" s="904" t="s">
        <v>55</v>
      </c>
      <c r="Q19" s="905"/>
      <c r="R19" s="905"/>
      <c r="S19" s="905"/>
      <c r="T19" s="905"/>
      <c r="U19" s="905"/>
      <c r="V19" s="905"/>
      <c r="W19" s="905"/>
      <c r="X19" s="905"/>
      <c r="Y19" s="906"/>
      <c r="Z19" s="363"/>
    </row>
    <row r="20" spans="2:26" s="1" customFormat="1" ht="21" customHeight="1">
      <c r="B20" s="241"/>
      <c r="C20" s="1162"/>
      <c r="D20" s="1163"/>
      <c r="E20" s="1163"/>
      <c r="F20" s="1163"/>
      <c r="G20" s="1163"/>
      <c r="H20" s="1163"/>
      <c r="I20" s="1163"/>
      <c r="J20" s="1163"/>
      <c r="K20" s="1163"/>
      <c r="L20" s="1163"/>
      <c r="M20" s="1163"/>
      <c r="N20" s="1163"/>
      <c r="O20" s="1164"/>
      <c r="P20" s="1162"/>
      <c r="Q20" s="1163"/>
      <c r="R20" s="1163"/>
      <c r="S20" s="1163"/>
      <c r="T20" s="1163"/>
      <c r="U20" s="1163"/>
      <c r="V20" s="1163"/>
      <c r="W20" s="1163"/>
      <c r="X20" s="1163"/>
      <c r="Y20" s="1164"/>
      <c r="Z20" s="242"/>
    </row>
    <row r="21" spans="2:26" s="1" customFormat="1" ht="21" customHeight="1">
      <c r="B21" s="241"/>
      <c r="C21" s="1162"/>
      <c r="D21" s="1163"/>
      <c r="E21" s="1163"/>
      <c r="F21" s="1163"/>
      <c r="G21" s="1163"/>
      <c r="H21" s="1163"/>
      <c r="I21" s="1163"/>
      <c r="J21" s="1163"/>
      <c r="K21" s="1163"/>
      <c r="L21" s="1163"/>
      <c r="M21" s="1163"/>
      <c r="N21" s="1163"/>
      <c r="O21" s="1164"/>
      <c r="P21" s="1162"/>
      <c r="Q21" s="1163"/>
      <c r="R21" s="1163"/>
      <c r="S21" s="1163"/>
      <c r="T21" s="1163"/>
      <c r="U21" s="1163"/>
      <c r="V21" s="1163"/>
      <c r="W21" s="1163"/>
      <c r="X21" s="1163"/>
      <c r="Y21" s="1164"/>
      <c r="Z21" s="242"/>
    </row>
    <row r="22" spans="2:26" s="1" customFormat="1" ht="21" customHeight="1">
      <c r="B22" s="241"/>
      <c r="C22" s="1162"/>
      <c r="D22" s="1163"/>
      <c r="E22" s="1163"/>
      <c r="F22" s="1163"/>
      <c r="G22" s="1163"/>
      <c r="H22" s="1163"/>
      <c r="I22" s="1163"/>
      <c r="J22" s="1163"/>
      <c r="K22" s="1163"/>
      <c r="L22" s="1163"/>
      <c r="M22" s="1163"/>
      <c r="N22" s="1163"/>
      <c r="O22" s="1164"/>
      <c r="P22" s="1162"/>
      <c r="Q22" s="1163"/>
      <c r="R22" s="1163"/>
      <c r="S22" s="1163"/>
      <c r="T22" s="1163"/>
      <c r="U22" s="1163"/>
      <c r="V22" s="1163"/>
      <c r="W22" s="1163"/>
      <c r="X22" s="1163"/>
      <c r="Y22" s="1164"/>
      <c r="Z22" s="242"/>
    </row>
    <row r="23" spans="2:26" s="1" customFormat="1" ht="21" customHeight="1">
      <c r="B23" s="241"/>
      <c r="C23" s="1162"/>
      <c r="D23" s="1163"/>
      <c r="E23" s="1163"/>
      <c r="F23" s="1163"/>
      <c r="G23" s="1163"/>
      <c r="H23" s="1163"/>
      <c r="I23" s="1163"/>
      <c r="J23" s="1163"/>
      <c r="K23" s="1163"/>
      <c r="L23" s="1163"/>
      <c r="M23" s="1163"/>
      <c r="N23" s="1163"/>
      <c r="O23" s="1164"/>
      <c r="P23" s="1162"/>
      <c r="Q23" s="1163"/>
      <c r="R23" s="1163"/>
      <c r="S23" s="1163"/>
      <c r="T23" s="1163"/>
      <c r="U23" s="1163"/>
      <c r="V23" s="1163"/>
      <c r="W23" s="1163"/>
      <c r="X23" s="1163"/>
      <c r="Y23" s="1164"/>
      <c r="Z23" s="242"/>
    </row>
    <row r="24" spans="2:26" s="1" customFormat="1" ht="21" customHeight="1">
      <c r="B24" s="241"/>
      <c r="C24" s="1162"/>
      <c r="D24" s="1163"/>
      <c r="E24" s="1163"/>
      <c r="F24" s="1163"/>
      <c r="G24" s="1163"/>
      <c r="H24" s="1163"/>
      <c r="I24" s="1163"/>
      <c r="J24" s="1163"/>
      <c r="K24" s="1163"/>
      <c r="L24" s="1163"/>
      <c r="M24" s="1163"/>
      <c r="N24" s="1163"/>
      <c r="O24" s="1164"/>
      <c r="P24" s="1162"/>
      <c r="Q24" s="1163"/>
      <c r="R24" s="1163"/>
      <c r="S24" s="1163"/>
      <c r="T24" s="1163"/>
      <c r="U24" s="1163"/>
      <c r="V24" s="1163"/>
      <c r="W24" s="1163"/>
      <c r="X24" s="1163"/>
      <c r="Y24" s="1164"/>
      <c r="Z24" s="242"/>
    </row>
    <row r="25" spans="2:26" s="1" customFormat="1" ht="21" customHeight="1">
      <c r="B25" s="241"/>
      <c r="C25" s="361"/>
      <c r="D25" s="361"/>
      <c r="E25" s="361"/>
      <c r="F25" s="361"/>
      <c r="G25" s="361"/>
      <c r="H25" s="361"/>
      <c r="I25" s="361"/>
      <c r="J25" s="361"/>
      <c r="K25" s="361"/>
      <c r="L25" s="361"/>
      <c r="M25" s="361"/>
      <c r="N25" s="361"/>
      <c r="O25" s="361"/>
      <c r="P25" s="7"/>
      <c r="Q25" s="7"/>
      <c r="R25" s="7"/>
      <c r="S25" s="7"/>
      <c r="T25" s="7"/>
      <c r="U25" s="7"/>
      <c r="V25" s="7"/>
      <c r="W25" s="7"/>
      <c r="X25" s="7"/>
      <c r="Y25" s="7"/>
      <c r="Z25" s="242"/>
    </row>
    <row r="26" spans="2:26" s="1" customFormat="1" ht="21" customHeight="1">
      <c r="B26" s="241"/>
      <c r="C26" s="387"/>
      <c r="D26" s="387"/>
      <c r="E26" s="387"/>
      <c r="F26" s="387"/>
      <c r="G26" s="387"/>
      <c r="H26" s="387"/>
      <c r="I26" s="387"/>
      <c r="J26" s="387"/>
      <c r="K26" s="387"/>
      <c r="L26" s="387"/>
      <c r="M26" s="387"/>
      <c r="N26" s="387"/>
      <c r="O26" s="387"/>
      <c r="P26" s="8"/>
      <c r="Q26" s="8"/>
      <c r="R26" s="8"/>
      <c r="S26" s="8"/>
      <c r="T26" s="8"/>
      <c r="U26" s="9"/>
      <c r="V26" s="431" t="s">
        <v>662</v>
      </c>
      <c r="W26" s="431" t="s">
        <v>663</v>
      </c>
      <c r="X26" s="431" t="s">
        <v>664</v>
      </c>
      <c r="Y26" s="11"/>
      <c r="Z26" s="242"/>
    </row>
    <row r="27" spans="2:26" s="1" customFormat="1" ht="38.25" customHeight="1">
      <c r="B27" s="241"/>
      <c r="C27" s="9" t="s">
        <v>153</v>
      </c>
      <c r="D27" s="10"/>
      <c r="E27" s="10"/>
      <c r="F27" s="10"/>
      <c r="G27" s="10"/>
      <c r="H27" s="10"/>
      <c r="I27" s="10"/>
      <c r="J27" s="10"/>
      <c r="K27" s="10"/>
      <c r="L27" s="10"/>
      <c r="M27" s="10"/>
      <c r="N27" s="10"/>
      <c r="O27" s="10"/>
      <c r="P27" s="10"/>
      <c r="Q27" s="10"/>
      <c r="R27" s="10"/>
      <c r="S27" s="10"/>
      <c r="T27" s="365"/>
      <c r="U27" s="407"/>
      <c r="V27" s="347" t="s">
        <v>194</v>
      </c>
      <c r="W27" s="347" t="s">
        <v>663</v>
      </c>
      <c r="X27" s="347" t="s">
        <v>194</v>
      </c>
      <c r="Y27" s="365"/>
      <c r="Z27" s="242"/>
    </row>
    <row r="28" spans="2:26" s="1" customFormat="1" ht="38.25" customHeight="1">
      <c r="B28" s="241"/>
      <c r="C28" s="933" t="s">
        <v>121</v>
      </c>
      <c r="D28" s="934"/>
      <c r="E28" s="934"/>
      <c r="F28" s="934"/>
      <c r="G28" s="934"/>
      <c r="H28" s="934"/>
      <c r="I28" s="934"/>
      <c r="J28" s="934"/>
      <c r="K28" s="934"/>
      <c r="L28" s="934"/>
      <c r="M28" s="934"/>
      <c r="N28" s="934"/>
      <c r="O28" s="934"/>
      <c r="P28" s="934"/>
      <c r="Q28" s="934"/>
      <c r="R28" s="934"/>
      <c r="S28" s="934"/>
      <c r="T28" s="23"/>
      <c r="U28" s="407"/>
      <c r="V28" s="347" t="s">
        <v>194</v>
      </c>
      <c r="W28" s="347" t="s">
        <v>663</v>
      </c>
      <c r="X28" s="347" t="s">
        <v>194</v>
      </c>
      <c r="Y28" s="365"/>
      <c r="Z28" s="242"/>
    </row>
    <row r="29" spans="2:26" s="1" customFormat="1" ht="70.5" customHeight="1">
      <c r="B29" s="241"/>
      <c r="C29" s="933" t="s">
        <v>586</v>
      </c>
      <c r="D29" s="934"/>
      <c r="E29" s="934"/>
      <c r="F29" s="934"/>
      <c r="G29" s="934"/>
      <c r="H29" s="934"/>
      <c r="I29" s="934"/>
      <c r="J29" s="934"/>
      <c r="K29" s="934"/>
      <c r="L29" s="934"/>
      <c r="M29" s="934"/>
      <c r="N29" s="934"/>
      <c r="O29" s="934"/>
      <c r="P29" s="934"/>
      <c r="Q29" s="934"/>
      <c r="R29" s="934"/>
      <c r="S29" s="934"/>
      <c r="T29" s="23"/>
      <c r="U29" s="407"/>
      <c r="V29" s="347" t="s">
        <v>194</v>
      </c>
      <c r="W29" s="347" t="s">
        <v>663</v>
      </c>
      <c r="X29" s="347" t="s">
        <v>194</v>
      </c>
      <c r="Y29" s="365"/>
      <c r="Z29" s="242"/>
    </row>
    <row r="30" spans="2:26" s="1" customFormat="1" ht="38.25" customHeight="1">
      <c r="B30" s="241"/>
      <c r="C30" s="9" t="s">
        <v>137</v>
      </c>
      <c r="D30" s="10"/>
      <c r="E30" s="10"/>
      <c r="F30" s="10"/>
      <c r="G30" s="10"/>
      <c r="H30" s="10"/>
      <c r="I30" s="10"/>
      <c r="J30" s="10"/>
      <c r="K30" s="10"/>
      <c r="L30" s="10"/>
      <c r="M30" s="10"/>
      <c r="N30" s="10"/>
      <c r="O30" s="10"/>
      <c r="P30" s="10"/>
      <c r="Q30" s="10"/>
      <c r="R30" s="10"/>
      <c r="S30" s="10"/>
      <c r="T30" s="365"/>
      <c r="U30" s="2"/>
      <c r="V30" s="12" t="s">
        <v>194</v>
      </c>
      <c r="W30" s="12" t="s">
        <v>663</v>
      </c>
      <c r="X30" s="12" t="s">
        <v>194</v>
      </c>
      <c r="Y30" s="385"/>
      <c r="Z30" s="242"/>
    </row>
    <row r="31" spans="2:26" s="1" customFormat="1" ht="38.25" customHeight="1">
      <c r="B31" s="241"/>
      <c r="C31" s="933" t="s">
        <v>138</v>
      </c>
      <c r="D31" s="934"/>
      <c r="E31" s="934"/>
      <c r="F31" s="934"/>
      <c r="G31" s="934"/>
      <c r="H31" s="934"/>
      <c r="I31" s="934"/>
      <c r="J31" s="934"/>
      <c r="K31" s="934"/>
      <c r="L31" s="934"/>
      <c r="M31" s="934"/>
      <c r="N31" s="934"/>
      <c r="O31" s="934"/>
      <c r="P31" s="934"/>
      <c r="Q31" s="934"/>
      <c r="R31" s="934"/>
      <c r="S31" s="934"/>
      <c r="T31" s="365"/>
      <c r="U31" s="407"/>
      <c r="V31" s="347" t="s">
        <v>194</v>
      </c>
      <c r="W31" s="347" t="s">
        <v>663</v>
      </c>
      <c r="X31" s="347" t="s">
        <v>194</v>
      </c>
      <c r="Y31" s="365"/>
      <c r="Z31" s="242"/>
    </row>
    <row r="32" spans="2:26" s="1" customFormat="1" ht="38.25" customHeight="1">
      <c r="B32" s="241"/>
      <c r="C32" s="933" t="s">
        <v>154</v>
      </c>
      <c r="D32" s="934"/>
      <c r="E32" s="934"/>
      <c r="F32" s="934"/>
      <c r="G32" s="934"/>
      <c r="H32" s="934"/>
      <c r="I32" s="934"/>
      <c r="J32" s="934"/>
      <c r="K32" s="934"/>
      <c r="L32" s="934"/>
      <c r="M32" s="934"/>
      <c r="N32" s="934"/>
      <c r="O32" s="934"/>
      <c r="P32" s="934"/>
      <c r="Q32" s="934"/>
      <c r="R32" s="934"/>
      <c r="S32" s="934"/>
      <c r="T32" s="365"/>
      <c r="U32" s="2"/>
      <c r="V32" s="12" t="s">
        <v>194</v>
      </c>
      <c r="W32" s="12" t="s">
        <v>663</v>
      </c>
      <c r="X32" s="12" t="s">
        <v>194</v>
      </c>
      <c r="Y32" s="385"/>
      <c r="Z32" s="242"/>
    </row>
    <row r="33" spans="2:26" s="1" customFormat="1" ht="38.25" customHeight="1">
      <c r="B33" s="241"/>
      <c r="C33" s="933" t="s">
        <v>869</v>
      </c>
      <c r="D33" s="934"/>
      <c r="E33" s="934"/>
      <c r="F33" s="934"/>
      <c r="G33" s="934"/>
      <c r="H33" s="934"/>
      <c r="I33" s="934"/>
      <c r="J33" s="934"/>
      <c r="K33" s="934"/>
      <c r="L33" s="934"/>
      <c r="M33" s="934"/>
      <c r="N33" s="934"/>
      <c r="O33" s="934"/>
      <c r="P33" s="934"/>
      <c r="Q33" s="934"/>
      <c r="R33" s="934"/>
      <c r="S33" s="934"/>
      <c r="T33" s="365"/>
      <c r="U33" s="407"/>
      <c r="V33" s="347" t="s">
        <v>194</v>
      </c>
      <c r="W33" s="347" t="s">
        <v>663</v>
      </c>
      <c r="X33" s="347" t="s">
        <v>194</v>
      </c>
      <c r="Y33" s="365"/>
      <c r="Z33" s="242"/>
    </row>
    <row r="34" spans="2:26" s="1" customFormat="1" ht="9" customHeight="1">
      <c r="B34" s="277"/>
      <c r="C34" s="8"/>
      <c r="D34" s="8"/>
      <c r="E34" s="8"/>
      <c r="F34" s="8"/>
      <c r="G34" s="8"/>
      <c r="H34" s="8"/>
      <c r="I34" s="8"/>
      <c r="J34" s="8"/>
      <c r="K34" s="8"/>
      <c r="L34" s="8"/>
      <c r="M34" s="8"/>
      <c r="N34" s="8"/>
      <c r="O34" s="8"/>
      <c r="P34" s="8"/>
      <c r="Q34" s="8"/>
      <c r="R34" s="8"/>
      <c r="S34" s="8"/>
      <c r="T34" s="8"/>
      <c r="U34" s="8"/>
      <c r="V34" s="8"/>
      <c r="W34" s="8"/>
      <c r="X34" s="8"/>
      <c r="Y34" s="8"/>
      <c r="Z34" s="279"/>
    </row>
    <row r="35" spans="2:26" s="1"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3"/>
  <dataValidations count="1">
    <dataValidation type="list" allowBlank="1" showInputMessage="1" showErrorMessage="1" sqref="G7:G8 L7 Q7 P8 V27:V33 X27:X33" xr:uid="{5E1A11F5-C5D2-49DB-82BA-2EDFAA75A35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2128E-4C07-4F48-AEA8-46647FED5A5D}">
  <sheetPr>
    <tabColor rgb="FFFFFF00"/>
    <pageSetUpPr fitToPage="1"/>
  </sheetPr>
  <dimension ref="A1:AK123"/>
  <sheetViews>
    <sheetView view="pageBreakPreview" zoomScaleNormal="100" zoomScaleSheetLayoutView="100" workbookViewId="0">
      <selection activeCell="B5" sqref="B5:AH5"/>
    </sheetView>
  </sheetViews>
  <sheetFormatPr defaultColWidth="3.44140625" defaultRowHeight="13.2"/>
  <cols>
    <col min="1" max="1" width="1.21875" style="3" customWidth="1"/>
    <col min="2" max="2" width="3.109375" style="384"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row r="2" spans="2:35" s="1" customFormat="1">
      <c r="B2" s="1" t="s">
        <v>915</v>
      </c>
    </row>
    <row r="3" spans="2:35" s="1" customFormat="1">
      <c r="Y3" s="45" t="s">
        <v>313</v>
      </c>
      <c r="Z3" s="899"/>
      <c r="AA3" s="899"/>
      <c r="AB3" s="45" t="s">
        <v>34</v>
      </c>
      <c r="AC3" s="899"/>
      <c r="AD3" s="899"/>
      <c r="AE3" s="45" t="s">
        <v>261</v>
      </c>
      <c r="AF3" s="899"/>
      <c r="AG3" s="899"/>
      <c r="AH3" s="45" t="s">
        <v>376</v>
      </c>
    </row>
    <row r="4" spans="2:35" s="1" customFormat="1">
      <c r="AH4" s="45"/>
    </row>
    <row r="5" spans="2:35" s="1" customFormat="1">
      <c r="B5" s="899" t="s">
        <v>916</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row>
    <row r="6" spans="2:35" s="1" customFormat="1"/>
    <row r="7" spans="2:35" s="1" customFormat="1" ht="21" customHeight="1">
      <c r="B7" s="1173" t="s">
        <v>149</v>
      </c>
      <c r="C7" s="1173"/>
      <c r="D7" s="1173"/>
      <c r="E7" s="1173"/>
      <c r="F7" s="1162"/>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2"/>
    </row>
    <row r="8" spans="2:35" ht="21" customHeight="1">
      <c r="B8" s="1162" t="s">
        <v>113</v>
      </c>
      <c r="C8" s="1163"/>
      <c r="D8" s="1163"/>
      <c r="E8" s="1163"/>
      <c r="F8" s="1164"/>
      <c r="G8" s="410" t="s">
        <v>194</v>
      </c>
      <c r="H8" s="364" t="s">
        <v>840</v>
      </c>
      <c r="I8" s="364"/>
      <c r="J8" s="364"/>
      <c r="K8" s="364"/>
      <c r="L8" s="398" t="s">
        <v>194</v>
      </c>
      <c r="M8" s="364" t="s">
        <v>841</v>
      </c>
      <c r="N8" s="364"/>
      <c r="O8" s="364"/>
      <c r="P8" s="364"/>
      <c r="Q8" s="398" t="s">
        <v>194</v>
      </c>
      <c r="R8" s="364" t="s">
        <v>842</v>
      </c>
      <c r="S8"/>
      <c r="T8" s="443"/>
      <c r="U8"/>
      <c r="V8" s="444"/>
      <c r="W8" s="444"/>
      <c r="X8" s="444"/>
      <c r="Y8" s="444"/>
      <c r="Z8" s="444"/>
      <c r="AA8" s="444"/>
      <c r="AB8" s="444"/>
      <c r="AC8" s="444"/>
      <c r="AD8" s="444"/>
      <c r="AE8" s="444"/>
      <c r="AF8" s="444"/>
      <c r="AG8" s="444"/>
      <c r="AH8" s="445"/>
    </row>
    <row r="9" spans="2:35" ht="21" customHeight="1">
      <c r="B9" s="1178" t="s">
        <v>590</v>
      </c>
      <c r="C9" s="1179"/>
      <c r="D9" s="1179"/>
      <c r="E9" s="1179"/>
      <c r="F9" s="1180"/>
      <c r="G9" s="423" t="s">
        <v>194</v>
      </c>
      <c r="H9" s="7" t="s">
        <v>917</v>
      </c>
      <c r="I9" s="22"/>
      <c r="J9" s="22"/>
      <c r="K9" s="22"/>
      <c r="L9" s="22"/>
      <c r="M9" s="22"/>
      <c r="N9" s="22"/>
      <c r="O9" s="22"/>
      <c r="P9" s="22"/>
      <c r="Q9" s="22"/>
      <c r="R9" s="22"/>
      <c r="S9" s="22"/>
      <c r="T9"/>
      <c r="U9" s="424" t="s">
        <v>194</v>
      </c>
      <c r="V9" s="7" t="s">
        <v>918</v>
      </c>
      <c r="W9" s="7"/>
      <c r="X9" s="446"/>
      <c r="Y9" s="446"/>
      <c r="Z9" s="446"/>
      <c r="AA9" s="446"/>
      <c r="AB9" s="446"/>
      <c r="AC9" s="446"/>
      <c r="AD9" s="446"/>
      <c r="AE9" s="446"/>
      <c r="AF9" s="446"/>
      <c r="AG9" s="446"/>
      <c r="AH9" s="447"/>
    </row>
    <row r="10" spans="2:35" ht="21" customHeight="1">
      <c r="B10" s="1181"/>
      <c r="C10" s="1182"/>
      <c r="D10" s="1182"/>
      <c r="E10" s="1182"/>
      <c r="F10" s="1182"/>
      <c r="G10" s="402" t="s">
        <v>194</v>
      </c>
      <c r="H10" s="1" t="s">
        <v>919</v>
      </c>
      <c r="I10" s="2"/>
      <c r="J10" s="2"/>
      <c r="K10" s="2"/>
      <c r="L10" s="2"/>
      <c r="M10" s="2"/>
      <c r="N10" s="2"/>
      <c r="O10" s="2"/>
      <c r="P10" s="2"/>
      <c r="Q10" s="2"/>
      <c r="R10" s="2"/>
      <c r="S10" s="2"/>
      <c r="T10"/>
      <c r="U10" s="403" t="s">
        <v>194</v>
      </c>
      <c r="V10" s="1" t="s">
        <v>920</v>
      </c>
      <c r="W10" s="1"/>
      <c r="X10" s="448"/>
      <c r="Y10" s="448"/>
      <c r="Z10" s="448"/>
      <c r="AA10" s="448"/>
      <c r="AB10" s="448"/>
      <c r="AC10" s="448"/>
      <c r="AD10" s="448"/>
      <c r="AE10" s="448"/>
      <c r="AF10" s="448"/>
      <c r="AG10" s="448"/>
      <c r="AH10" s="449"/>
    </row>
    <row r="11" spans="2:35" ht="21" customHeight="1">
      <c r="B11" s="1181"/>
      <c r="C11" s="1182"/>
      <c r="D11" s="1182"/>
      <c r="E11" s="1182"/>
      <c r="F11" s="1182"/>
      <c r="G11" s="402" t="s">
        <v>194</v>
      </c>
      <c r="H11" s="1" t="s">
        <v>921</v>
      </c>
      <c r="I11" s="2"/>
      <c r="J11" s="2"/>
      <c r="K11" s="2"/>
      <c r="L11" s="2"/>
      <c r="M11" s="2"/>
      <c r="N11" s="2"/>
      <c r="O11" s="2"/>
      <c r="P11" s="2"/>
      <c r="Q11" s="2"/>
      <c r="R11" s="2"/>
      <c r="S11" s="2"/>
      <c r="T11"/>
      <c r="U11" s="403" t="s">
        <v>194</v>
      </c>
      <c r="V11" s="2" t="s">
        <v>922</v>
      </c>
      <c r="W11" s="2"/>
      <c r="X11" s="448"/>
      <c r="Y11" s="448"/>
      <c r="Z11" s="448"/>
      <c r="AA11" s="448"/>
      <c r="AB11" s="448"/>
      <c r="AC11" s="448"/>
      <c r="AD11" s="448"/>
      <c r="AE11" s="448"/>
      <c r="AF11" s="448"/>
      <c r="AG11" s="448"/>
      <c r="AH11" s="449"/>
      <c r="AI11" s="300"/>
    </row>
    <row r="12" spans="2:35" ht="21" customHeight="1">
      <c r="B12" s="1184"/>
      <c r="C12" s="1185"/>
      <c r="D12" s="1185"/>
      <c r="E12" s="1185"/>
      <c r="F12" s="1186"/>
      <c r="G12" s="415" t="s">
        <v>194</v>
      </c>
      <c r="H12" s="8" t="s">
        <v>923</v>
      </c>
      <c r="I12" s="297"/>
      <c r="J12" s="297"/>
      <c r="K12" s="297"/>
      <c r="L12" s="297"/>
      <c r="M12" s="297"/>
      <c r="N12" s="297"/>
      <c r="O12" s="297"/>
      <c r="P12" s="297"/>
      <c r="Q12" s="297"/>
      <c r="R12" s="297"/>
      <c r="S12" s="297"/>
      <c r="T12" s="416"/>
      <c r="U12" s="297"/>
      <c r="V12" s="297"/>
      <c r="W12" s="297"/>
      <c r="X12" s="450"/>
      <c r="Y12" s="450"/>
      <c r="Z12" s="450"/>
      <c r="AA12" s="450"/>
      <c r="AB12" s="450"/>
      <c r="AC12" s="450"/>
      <c r="AD12" s="450"/>
      <c r="AE12" s="450"/>
      <c r="AF12" s="450"/>
      <c r="AG12" s="450"/>
      <c r="AH12" s="451"/>
    </row>
    <row r="13" spans="2:35" ht="21" customHeight="1">
      <c r="B13" s="1178" t="s">
        <v>591</v>
      </c>
      <c r="C13" s="1179"/>
      <c r="D13" s="1179"/>
      <c r="E13" s="1179"/>
      <c r="F13" s="1180"/>
      <c r="G13" s="423" t="s">
        <v>194</v>
      </c>
      <c r="H13" s="7" t="s">
        <v>924</v>
      </c>
      <c r="I13" s="22"/>
      <c r="J13" s="22"/>
      <c r="K13" s="22"/>
      <c r="L13" s="22"/>
      <c r="M13" s="22"/>
      <c r="N13" s="22"/>
      <c r="O13" s="22"/>
      <c r="P13" s="22"/>
      <c r="Q13" s="22"/>
      <c r="R13" s="22"/>
      <c r="S13" s="2"/>
      <c r="T13" s="22"/>
      <c r="U13" s="424"/>
      <c r="V13" s="424"/>
      <c r="W13" s="424"/>
      <c r="X13" s="7"/>
      <c r="Y13" s="446"/>
      <c r="Z13" s="446"/>
      <c r="AA13" s="446"/>
      <c r="AB13" s="446"/>
      <c r="AC13" s="446"/>
      <c r="AD13" s="446"/>
      <c r="AE13" s="446"/>
      <c r="AF13" s="446"/>
      <c r="AG13" s="446"/>
      <c r="AH13" s="447"/>
    </row>
    <row r="14" spans="2:35" ht="21" customHeight="1">
      <c r="B14" s="1184"/>
      <c r="C14" s="1185"/>
      <c r="D14" s="1185"/>
      <c r="E14" s="1185"/>
      <c r="F14" s="1186"/>
      <c r="G14" s="415" t="s">
        <v>194</v>
      </c>
      <c r="H14" s="8" t="s">
        <v>925</v>
      </c>
      <c r="I14" s="297"/>
      <c r="J14" s="297"/>
      <c r="K14" s="297"/>
      <c r="L14" s="297"/>
      <c r="M14" s="297"/>
      <c r="N14" s="297"/>
      <c r="O14" s="297"/>
      <c r="P14" s="297"/>
      <c r="Q14" s="297"/>
      <c r="R14" s="297"/>
      <c r="S14" s="297"/>
      <c r="T14" s="297"/>
      <c r="U14" s="450"/>
      <c r="V14" s="450"/>
      <c r="W14" s="450"/>
      <c r="X14" s="450"/>
      <c r="Y14" s="450"/>
      <c r="Z14" s="450"/>
      <c r="AA14" s="450"/>
      <c r="AB14" s="450"/>
      <c r="AC14" s="450"/>
      <c r="AD14" s="450"/>
      <c r="AE14" s="450"/>
      <c r="AF14" s="450"/>
      <c r="AG14" s="450"/>
      <c r="AH14" s="451"/>
    </row>
    <row r="15" spans="2:35" ht="13.5" customHeight="1">
      <c r="B15" s="1"/>
      <c r="C15" s="1"/>
      <c r="D15" s="1"/>
      <c r="E15" s="1"/>
      <c r="F15" s="1"/>
      <c r="G15" s="403"/>
      <c r="H15" s="1"/>
      <c r="I15" s="2"/>
      <c r="J15" s="2"/>
      <c r="K15" s="2"/>
      <c r="L15" s="2"/>
      <c r="M15" s="2"/>
      <c r="N15" s="2"/>
      <c r="O15" s="2"/>
      <c r="P15" s="2"/>
      <c r="Q15" s="2"/>
      <c r="R15" s="2"/>
      <c r="S15" s="2"/>
      <c r="T15" s="2"/>
      <c r="U15" s="448"/>
      <c r="V15" s="448"/>
      <c r="W15" s="448"/>
      <c r="X15" s="448"/>
      <c r="Y15" s="448"/>
      <c r="Z15" s="448"/>
      <c r="AA15" s="448"/>
      <c r="AB15" s="448"/>
      <c r="AC15" s="448"/>
      <c r="AD15" s="448"/>
      <c r="AE15" s="448"/>
      <c r="AF15" s="448"/>
      <c r="AG15" s="448"/>
      <c r="AH15" s="448"/>
    </row>
    <row r="16" spans="2:35" ht="21" customHeight="1">
      <c r="B16" s="6" t="s">
        <v>926</v>
      </c>
      <c r="C16" s="7"/>
      <c r="D16" s="7"/>
      <c r="E16" s="7"/>
      <c r="F16" s="7"/>
      <c r="G16" s="424"/>
      <c r="H16" s="7"/>
      <c r="I16" s="22"/>
      <c r="J16" s="22"/>
      <c r="K16" s="22"/>
      <c r="L16" s="22"/>
      <c r="M16" s="22"/>
      <c r="N16" s="22"/>
      <c r="O16" s="22"/>
      <c r="P16" s="22"/>
      <c r="Q16" s="22"/>
      <c r="R16" s="22"/>
      <c r="S16" s="22"/>
      <c r="T16" s="22"/>
      <c r="U16" s="446"/>
      <c r="V16" s="446"/>
      <c r="W16" s="446"/>
      <c r="X16" s="446"/>
      <c r="Y16" s="446"/>
      <c r="Z16" s="446"/>
      <c r="AA16" s="446"/>
      <c r="AB16" s="446"/>
      <c r="AC16" s="446"/>
      <c r="AD16" s="446"/>
      <c r="AE16" s="446"/>
      <c r="AF16" s="446"/>
      <c r="AG16" s="446"/>
      <c r="AH16" s="447"/>
    </row>
    <row r="17" spans="2:37" ht="21" customHeight="1">
      <c r="B17" s="241"/>
      <c r="C17" s="1" t="s">
        <v>927</v>
      </c>
      <c r="D17" s="1"/>
      <c r="E17" s="1"/>
      <c r="F17" s="1"/>
      <c r="G17" s="403"/>
      <c r="H17" s="1"/>
      <c r="I17" s="2"/>
      <c r="J17" s="2"/>
      <c r="K17" s="2"/>
      <c r="L17" s="2"/>
      <c r="M17" s="2"/>
      <c r="N17" s="2"/>
      <c r="O17" s="2"/>
      <c r="P17" s="2"/>
      <c r="Q17" s="2"/>
      <c r="R17" s="2"/>
      <c r="S17" s="2"/>
      <c r="T17" s="2"/>
      <c r="U17" s="448"/>
      <c r="V17" s="448"/>
      <c r="W17" s="448"/>
      <c r="X17" s="448"/>
      <c r="Y17" s="448"/>
      <c r="Z17" s="448"/>
      <c r="AA17" s="448"/>
      <c r="AB17" s="448"/>
      <c r="AC17" s="448"/>
      <c r="AD17" s="448"/>
      <c r="AE17" s="448"/>
      <c r="AF17" s="448"/>
      <c r="AG17" s="448"/>
      <c r="AH17" s="449"/>
    </row>
    <row r="18" spans="2:37" ht="21" customHeight="1">
      <c r="B18" s="425"/>
      <c r="C18" s="1218" t="s">
        <v>928</v>
      </c>
      <c r="D18" s="1218"/>
      <c r="E18" s="1218"/>
      <c r="F18" s="1218"/>
      <c r="G18" s="1218"/>
      <c r="H18" s="1218"/>
      <c r="I18" s="1218"/>
      <c r="J18" s="1218"/>
      <c r="K18" s="1218"/>
      <c r="L18" s="1218"/>
      <c r="M18" s="1218"/>
      <c r="N18" s="1218"/>
      <c r="O18" s="1218"/>
      <c r="P18" s="1218"/>
      <c r="Q18" s="1218"/>
      <c r="R18" s="1218"/>
      <c r="S18" s="1218"/>
      <c r="T18" s="1218"/>
      <c r="U18" s="1218"/>
      <c r="V18" s="1218"/>
      <c r="W18" s="1218"/>
      <c r="X18" s="1218"/>
      <c r="Y18" s="1218"/>
      <c r="Z18" s="1218"/>
      <c r="AA18" s="1219" t="s">
        <v>929</v>
      </c>
      <c r="AB18" s="1219"/>
      <c r="AC18" s="1219"/>
      <c r="AD18" s="1219"/>
      <c r="AE18" s="1219"/>
      <c r="AF18" s="1219"/>
      <c r="AG18" s="1219"/>
      <c r="AH18" s="449"/>
      <c r="AK18" s="453"/>
    </row>
    <row r="19" spans="2:37" ht="21" customHeight="1">
      <c r="B19" s="425"/>
      <c r="C19" s="1220"/>
      <c r="D19" s="1220"/>
      <c r="E19" s="1220"/>
      <c r="F19" s="1220"/>
      <c r="G19" s="1220"/>
      <c r="H19" s="1220"/>
      <c r="I19" s="1220"/>
      <c r="J19" s="1220"/>
      <c r="K19" s="1220"/>
      <c r="L19" s="1220"/>
      <c r="M19" s="1220"/>
      <c r="N19" s="1220"/>
      <c r="O19" s="1220"/>
      <c r="P19" s="1220"/>
      <c r="Q19" s="1220"/>
      <c r="R19" s="1220"/>
      <c r="S19" s="1220"/>
      <c r="T19" s="1220"/>
      <c r="U19" s="1220"/>
      <c r="V19" s="1220"/>
      <c r="W19" s="1220"/>
      <c r="X19" s="1220"/>
      <c r="Y19" s="1220"/>
      <c r="Z19" s="1220"/>
      <c r="AA19" s="454"/>
      <c r="AB19" s="454"/>
      <c r="AC19" s="454"/>
      <c r="AD19" s="454"/>
      <c r="AE19" s="454"/>
      <c r="AF19" s="454"/>
      <c r="AG19" s="454"/>
      <c r="AH19" s="449"/>
      <c r="AK19" s="453"/>
    </row>
    <row r="20" spans="2:37" ht="9" customHeight="1">
      <c r="B20" s="425"/>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446"/>
      <c r="AB20" s="446"/>
      <c r="AC20" s="446"/>
      <c r="AD20" s="446"/>
      <c r="AE20" s="446"/>
      <c r="AF20" s="446"/>
      <c r="AG20" s="446"/>
      <c r="AH20" s="449"/>
      <c r="AK20" s="455"/>
    </row>
    <row r="21" spans="2:37" ht="21" customHeight="1">
      <c r="B21" s="425"/>
      <c r="C21" s="343" t="s">
        <v>930</v>
      </c>
      <c r="D21" s="342"/>
      <c r="E21" s="342"/>
      <c r="F21" s="342"/>
      <c r="G21" s="456"/>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9"/>
    </row>
    <row r="22" spans="2:37" ht="21" customHeight="1">
      <c r="B22" s="425"/>
      <c r="C22" s="1218" t="s">
        <v>931</v>
      </c>
      <c r="D22" s="1218"/>
      <c r="E22" s="1218"/>
      <c r="F22" s="1218"/>
      <c r="G22" s="1218"/>
      <c r="H22" s="1218"/>
      <c r="I22" s="1218"/>
      <c r="J22" s="1218"/>
      <c r="K22" s="1218"/>
      <c r="L22" s="1218"/>
      <c r="M22" s="1218"/>
      <c r="N22" s="1218"/>
      <c r="O22" s="1218"/>
      <c r="P22" s="1218"/>
      <c r="Q22" s="1218"/>
      <c r="R22" s="1218"/>
      <c r="S22" s="1218"/>
      <c r="T22" s="1218"/>
      <c r="U22" s="1218"/>
      <c r="V22" s="1218"/>
      <c r="W22" s="1218"/>
      <c r="X22" s="1218"/>
      <c r="Y22" s="1218"/>
      <c r="Z22" s="1218"/>
      <c r="AA22" s="1219" t="s">
        <v>929</v>
      </c>
      <c r="AB22" s="1219"/>
      <c r="AC22" s="1219"/>
      <c r="AD22" s="1219"/>
      <c r="AE22" s="1219"/>
      <c r="AF22" s="1219"/>
      <c r="AG22" s="1219"/>
      <c r="AH22" s="449"/>
    </row>
    <row r="23" spans="2:37" ht="20.100000000000001" customHeight="1">
      <c r="B23" s="338"/>
      <c r="C23" s="1218"/>
      <c r="D23" s="1218"/>
      <c r="E23" s="1218"/>
      <c r="F23" s="1218"/>
      <c r="G23" s="1218"/>
      <c r="H23" s="1218"/>
      <c r="I23" s="1218"/>
      <c r="J23" s="1218"/>
      <c r="K23" s="1218"/>
      <c r="L23" s="1218"/>
      <c r="M23" s="1218"/>
      <c r="N23" s="1218"/>
      <c r="O23" s="1218"/>
      <c r="P23" s="1218"/>
      <c r="Q23" s="1218"/>
      <c r="R23" s="1218"/>
      <c r="S23" s="1218"/>
      <c r="T23" s="1218"/>
      <c r="U23" s="1218"/>
      <c r="V23" s="1218"/>
      <c r="W23" s="1218"/>
      <c r="X23" s="1218"/>
      <c r="Y23" s="1218"/>
      <c r="Z23" s="1220"/>
      <c r="AA23" s="457"/>
      <c r="AB23" s="457"/>
      <c r="AC23" s="457"/>
      <c r="AD23" s="457"/>
      <c r="AE23" s="457"/>
      <c r="AF23" s="457"/>
      <c r="AG23" s="457"/>
      <c r="AH23" s="458"/>
    </row>
    <row r="24" spans="2:37" s="1" customFormat="1" ht="20.100000000000001" customHeight="1">
      <c r="B24" s="338"/>
      <c r="C24" s="908" t="s">
        <v>932</v>
      </c>
      <c r="D24" s="909"/>
      <c r="E24" s="909"/>
      <c r="F24" s="909"/>
      <c r="G24" s="909"/>
      <c r="H24" s="909"/>
      <c r="I24" s="909"/>
      <c r="J24" s="909"/>
      <c r="K24" s="909"/>
      <c r="L24" s="909"/>
      <c r="M24" s="423" t="s">
        <v>194</v>
      </c>
      <c r="N24" s="7" t="s">
        <v>933</v>
      </c>
      <c r="O24" s="7"/>
      <c r="P24" s="7"/>
      <c r="Q24" s="22"/>
      <c r="R24" s="22"/>
      <c r="S24" s="22"/>
      <c r="T24" s="22"/>
      <c r="U24" s="22"/>
      <c r="V24" s="22"/>
      <c r="W24" s="424" t="s">
        <v>194</v>
      </c>
      <c r="X24" s="7" t="s">
        <v>934</v>
      </c>
      <c r="Y24" s="459"/>
      <c r="Z24" s="459"/>
      <c r="AA24" s="22"/>
      <c r="AB24" s="22"/>
      <c r="AC24" s="22"/>
      <c r="AD24" s="22"/>
      <c r="AE24" s="22"/>
      <c r="AF24" s="22"/>
      <c r="AG24" s="23"/>
      <c r="AH24" s="449"/>
    </row>
    <row r="25" spans="2:37" s="1" customFormat="1" ht="20.100000000000001" customHeight="1">
      <c r="B25" s="425"/>
      <c r="C25" s="1189"/>
      <c r="D25" s="1190"/>
      <c r="E25" s="1190"/>
      <c r="F25" s="1190"/>
      <c r="G25" s="1190"/>
      <c r="H25" s="1190"/>
      <c r="I25" s="1190"/>
      <c r="J25" s="1190"/>
      <c r="K25" s="1190"/>
      <c r="L25" s="1190"/>
      <c r="M25" s="415" t="s">
        <v>194</v>
      </c>
      <c r="N25" s="8" t="s">
        <v>935</v>
      </c>
      <c r="O25" s="8"/>
      <c r="P25" s="8"/>
      <c r="Q25" s="297"/>
      <c r="R25" s="297"/>
      <c r="S25" s="297"/>
      <c r="T25" s="297"/>
      <c r="U25" s="297"/>
      <c r="V25" s="297"/>
      <c r="W25" s="416" t="s">
        <v>194</v>
      </c>
      <c r="X25" s="8" t="s">
        <v>936</v>
      </c>
      <c r="Y25" s="460"/>
      <c r="Z25" s="460"/>
      <c r="AA25" s="297"/>
      <c r="AB25" s="297"/>
      <c r="AC25" s="297"/>
      <c r="AD25" s="297"/>
      <c r="AE25" s="297"/>
      <c r="AF25" s="297"/>
      <c r="AG25" s="343"/>
      <c r="AH25" s="449"/>
    </row>
    <row r="26" spans="2:37" s="1" customFormat="1" ht="9" customHeight="1">
      <c r="B26" s="425"/>
      <c r="C26" s="461"/>
      <c r="D26" s="461"/>
      <c r="E26" s="461"/>
      <c r="F26" s="461"/>
      <c r="G26" s="461"/>
      <c r="H26" s="461"/>
      <c r="I26" s="461"/>
      <c r="J26" s="461"/>
      <c r="K26" s="461"/>
      <c r="L26" s="461"/>
      <c r="M26" s="461"/>
      <c r="N26" s="461"/>
      <c r="O26" s="461"/>
      <c r="P26" s="461"/>
      <c r="Q26" s="461"/>
      <c r="R26" s="461"/>
      <c r="S26" s="461"/>
      <c r="T26" s="461"/>
      <c r="U26" s="461"/>
      <c r="V26" s="461"/>
      <c r="W26" s="461"/>
      <c r="X26" s="461"/>
      <c r="Y26" s="461"/>
      <c r="Z26" s="461"/>
      <c r="AA26"/>
      <c r="AC26" s="2"/>
      <c r="AD26" s="2"/>
      <c r="AE26" s="2"/>
      <c r="AF26" s="2"/>
      <c r="AG26" s="2"/>
      <c r="AH26" s="449"/>
    </row>
    <row r="27" spans="2:37" s="1" customFormat="1" ht="20.100000000000001" customHeight="1">
      <c r="B27" s="425"/>
      <c r="C27" s="1221" t="s">
        <v>937</v>
      </c>
      <c r="D27" s="1221"/>
      <c r="E27" s="1221"/>
      <c r="F27" s="1221"/>
      <c r="G27" s="1221"/>
      <c r="H27" s="1221"/>
      <c r="I27" s="1221"/>
      <c r="J27" s="1221"/>
      <c r="K27" s="1221"/>
      <c r="L27" s="1221"/>
      <c r="M27" s="1221"/>
      <c r="N27" s="1221"/>
      <c r="O27" s="1221"/>
      <c r="P27" s="1221"/>
      <c r="Q27" s="1221"/>
      <c r="R27" s="1221"/>
      <c r="S27" s="1221"/>
      <c r="T27" s="1221"/>
      <c r="U27" s="1221"/>
      <c r="V27" s="1221"/>
      <c r="W27" s="1221"/>
      <c r="X27" s="1221"/>
      <c r="Y27" s="1221"/>
      <c r="Z27" s="1221"/>
      <c r="AA27" s="448"/>
      <c r="AB27" s="448"/>
      <c r="AC27" s="448"/>
      <c r="AD27" s="448"/>
      <c r="AE27" s="448"/>
      <c r="AF27" s="448"/>
      <c r="AG27" s="448"/>
      <c r="AH27" s="449"/>
    </row>
    <row r="28" spans="2:37" s="1" customFormat="1" ht="20.100000000000001" customHeight="1">
      <c r="B28" s="338"/>
      <c r="C28" s="1222"/>
      <c r="D28" s="1222"/>
      <c r="E28" s="1222"/>
      <c r="F28" s="1222"/>
      <c r="G28" s="1222"/>
      <c r="H28" s="1222"/>
      <c r="I28" s="1222"/>
      <c r="J28" s="1222"/>
      <c r="K28" s="1222"/>
      <c r="L28" s="1222"/>
      <c r="M28" s="1222"/>
      <c r="N28" s="1222"/>
      <c r="O28" s="1222"/>
      <c r="P28" s="1222"/>
      <c r="Q28" s="1222"/>
      <c r="R28" s="1222"/>
      <c r="S28" s="1222"/>
      <c r="T28" s="1222"/>
      <c r="U28" s="1222"/>
      <c r="V28" s="1222"/>
      <c r="W28" s="1222"/>
      <c r="X28" s="1222"/>
      <c r="Y28" s="1222"/>
      <c r="Z28" s="1222"/>
      <c r="AA28" s="462"/>
      <c r="AB28" s="463"/>
      <c r="AC28" s="463"/>
      <c r="AD28" s="463"/>
      <c r="AE28" s="463"/>
      <c r="AF28" s="463"/>
      <c r="AG28" s="463"/>
      <c r="AH28" s="464"/>
    </row>
    <row r="29" spans="2:37" s="1" customFormat="1" ht="9" customHeight="1">
      <c r="B29" s="338"/>
      <c r="C29" s="2"/>
      <c r="D29" s="2"/>
      <c r="E29" s="2"/>
      <c r="F29" s="2"/>
      <c r="G29" s="463"/>
      <c r="H29" s="463"/>
      <c r="I29" s="463"/>
      <c r="J29" s="463"/>
      <c r="K29" s="463"/>
      <c r="L29" s="463"/>
      <c r="M29" s="463"/>
      <c r="N29" s="463"/>
      <c r="O29" s="463"/>
      <c r="P29" s="463"/>
      <c r="Q29" s="463"/>
      <c r="R29" s="463"/>
      <c r="S29" s="463"/>
      <c r="T29" s="463"/>
      <c r="U29" s="463"/>
      <c r="V29" s="463"/>
      <c r="W29" s="463"/>
      <c r="X29" s="463"/>
      <c r="Y29" s="463"/>
      <c r="Z29" s="463"/>
      <c r="AA29" s="463"/>
      <c r="AB29" s="463"/>
      <c r="AC29" s="463"/>
      <c r="AD29" s="463"/>
      <c r="AE29" s="463"/>
      <c r="AF29" s="463"/>
      <c r="AG29" s="463"/>
      <c r="AH29" s="464"/>
    </row>
    <row r="30" spans="2:37" s="1" customFormat="1" ht="20.100000000000001" customHeight="1">
      <c r="B30" s="425"/>
      <c r="C30" s="1218" t="s">
        <v>938</v>
      </c>
      <c r="D30" s="1218"/>
      <c r="E30" s="1218"/>
      <c r="F30" s="1218"/>
      <c r="G30" s="1218"/>
      <c r="H30" s="1218"/>
      <c r="I30" s="1218"/>
      <c r="J30" s="1218"/>
      <c r="K30" s="1223"/>
      <c r="L30" s="1223"/>
      <c r="M30" s="1223"/>
      <c r="N30" s="1223"/>
      <c r="O30" s="1223"/>
      <c r="P30" s="1223"/>
      <c r="Q30" s="1223"/>
      <c r="R30" s="1223" t="s">
        <v>34</v>
      </c>
      <c r="S30" s="1223"/>
      <c r="T30" s="1223"/>
      <c r="U30" s="1223"/>
      <c r="V30" s="1223"/>
      <c r="W30" s="1223"/>
      <c r="X30" s="1223"/>
      <c r="Y30" s="1223"/>
      <c r="Z30" s="1223" t="s">
        <v>30</v>
      </c>
      <c r="AA30" s="1223"/>
      <c r="AB30" s="1223"/>
      <c r="AC30" s="1223"/>
      <c r="AD30" s="1223"/>
      <c r="AE30" s="1223"/>
      <c r="AF30" s="1223"/>
      <c r="AG30" s="1225" t="s">
        <v>376</v>
      </c>
      <c r="AH30" s="449"/>
    </row>
    <row r="31" spans="2:37" s="1" customFormat="1" ht="20.100000000000001" customHeight="1">
      <c r="B31" s="425"/>
      <c r="C31" s="1218"/>
      <c r="D31" s="1218"/>
      <c r="E31" s="1218"/>
      <c r="F31" s="1218"/>
      <c r="G31" s="1218"/>
      <c r="H31" s="1218"/>
      <c r="I31" s="1218"/>
      <c r="J31" s="1218"/>
      <c r="K31" s="1224"/>
      <c r="L31" s="1224"/>
      <c r="M31" s="1224"/>
      <c r="N31" s="1224"/>
      <c r="O31" s="1224"/>
      <c r="P31" s="1224"/>
      <c r="Q31" s="1224"/>
      <c r="R31" s="1224"/>
      <c r="S31" s="1224"/>
      <c r="T31" s="1224"/>
      <c r="U31" s="1224"/>
      <c r="V31" s="1224"/>
      <c r="W31" s="1224"/>
      <c r="X31" s="1224"/>
      <c r="Y31" s="1224"/>
      <c r="Z31" s="1224"/>
      <c r="AA31" s="1224"/>
      <c r="AB31" s="1224"/>
      <c r="AC31" s="1224"/>
      <c r="AD31" s="1224"/>
      <c r="AE31" s="1224"/>
      <c r="AF31" s="1224"/>
      <c r="AG31" s="1226"/>
      <c r="AH31" s="449"/>
    </row>
    <row r="32" spans="2:37" s="1" customFormat="1" ht="13.5" customHeight="1">
      <c r="B32" s="277"/>
      <c r="C32" s="8"/>
      <c r="D32" s="8"/>
      <c r="E32" s="8"/>
      <c r="F32" s="8"/>
      <c r="G32" s="465"/>
      <c r="H32" s="465"/>
      <c r="I32" s="465"/>
      <c r="J32" s="465"/>
      <c r="K32" s="465"/>
      <c r="L32" s="465"/>
      <c r="M32" s="465"/>
      <c r="N32" s="465"/>
      <c r="O32" s="465"/>
      <c r="P32" s="465"/>
      <c r="Q32" s="465"/>
      <c r="R32" s="465"/>
      <c r="S32" s="465"/>
      <c r="T32" s="465"/>
      <c r="U32" s="465"/>
      <c r="V32" s="465"/>
      <c r="W32" s="465"/>
      <c r="X32" s="465"/>
      <c r="Y32" s="465"/>
      <c r="Z32" s="465"/>
      <c r="AA32" s="465"/>
      <c r="AB32" s="465"/>
      <c r="AC32" s="465"/>
      <c r="AD32" s="465"/>
      <c r="AE32" s="465"/>
      <c r="AF32" s="465"/>
      <c r="AG32" s="465"/>
      <c r="AH32" s="466"/>
    </row>
    <row r="33" spans="2:34" s="1" customFormat="1" ht="13.5" customHeight="1">
      <c r="G33" s="467"/>
      <c r="H33" s="467"/>
      <c r="I33" s="467"/>
      <c r="J33" s="467"/>
      <c r="K33" s="467"/>
      <c r="L33" s="467"/>
      <c r="M33" s="467"/>
      <c r="N33" s="467"/>
      <c r="O33" s="467"/>
      <c r="P33" s="467"/>
      <c r="Q33" s="467"/>
      <c r="R33" s="467"/>
      <c r="S33" s="467"/>
      <c r="T33" s="467"/>
      <c r="U33" s="467"/>
      <c r="V33" s="467"/>
      <c r="W33" s="467"/>
      <c r="X33" s="467"/>
      <c r="Y33" s="467"/>
      <c r="Z33" s="467"/>
      <c r="AA33" s="467"/>
      <c r="AB33" s="467"/>
      <c r="AC33" s="467"/>
      <c r="AD33" s="467"/>
      <c r="AE33" s="467"/>
      <c r="AF33" s="467"/>
      <c r="AG33" s="467"/>
      <c r="AH33" s="467"/>
    </row>
    <row r="34" spans="2:34" s="1" customFormat="1" ht="20.100000000000001" customHeight="1">
      <c r="B34" s="6" t="s">
        <v>939</v>
      </c>
      <c r="C34" s="7"/>
      <c r="D34" s="7"/>
      <c r="E34" s="7"/>
      <c r="F34" s="7"/>
      <c r="G34" s="468"/>
      <c r="H34" s="468"/>
      <c r="I34" s="468"/>
      <c r="J34" s="468"/>
      <c r="K34" s="468"/>
      <c r="L34" s="468"/>
      <c r="M34" s="468"/>
      <c r="N34" s="468"/>
      <c r="O34" s="468"/>
      <c r="P34" s="468"/>
      <c r="Q34" s="468"/>
      <c r="R34" s="468"/>
      <c r="S34" s="468"/>
      <c r="T34" s="468"/>
      <c r="U34" s="468"/>
      <c r="V34" s="468"/>
      <c r="W34" s="468"/>
      <c r="X34" s="468"/>
      <c r="Y34" s="468"/>
      <c r="Z34" s="468"/>
      <c r="AA34" s="468"/>
      <c r="AB34" s="468"/>
      <c r="AC34" s="468"/>
      <c r="AD34" s="468"/>
      <c r="AE34" s="468"/>
      <c r="AF34" s="468"/>
      <c r="AG34" s="468"/>
      <c r="AH34" s="469"/>
    </row>
    <row r="35" spans="2:34" s="1" customFormat="1" ht="20.100000000000001" customHeight="1">
      <c r="B35" s="425"/>
      <c r="C35" s="928" t="s">
        <v>940</v>
      </c>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448"/>
      <c r="AG35" s="448"/>
      <c r="AH35" s="449"/>
    </row>
    <row r="36" spans="2:34" s="1" customFormat="1" ht="20.100000000000001" customHeight="1">
      <c r="B36" s="470"/>
      <c r="C36" s="903" t="s">
        <v>928</v>
      </c>
      <c r="D36" s="1218"/>
      <c r="E36" s="1218"/>
      <c r="F36" s="1218"/>
      <c r="G36" s="1218"/>
      <c r="H36" s="1218"/>
      <c r="I36" s="1218"/>
      <c r="J36" s="1218"/>
      <c r="K36" s="1218"/>
      <c r="L36" s="1218"/>
      <c r="M36" s="1218"/>
      <c r="N36" s="1218"/>
      <c r="O36" s="1218"/>
      <c r="P36" s="1218"/>
      <c r="Q36" s="1218"/>
      <c r="R36" s="1218"/>
      <c r="S36" s="1218"/>
      <c r="T36" s="1218"/>
      <c r="U36" s="1218"/>
      <c r="V36" s="1218"/>
      <c r="W36" s="1218"/>
      <c r="X36" s="1218"/>
      <c r="Y36" s="1218"/>
      <c r="Z36" s="1218"/>
      <c r="AA36" s="1219" t="s">
        <v>929</v>
      </c>
      <c r="AB36" s="1219"/>
      <c r="AC36" s="1219"/>
      <c r="AD36" s="1219"/>
      <c r="AE36" s="1219"/>
      <c r="AF36" s="1219"/>
      <c r="AG36" s="1219"/>
      <c r="AH36" s="471"/>
    </row>
    <row r="37" spans="2:34" s="1" customFormat="1" ht="20.100000000000001" customHeight="1">
      <c r="B37" s="341"/>
      <c r="C37" s="903"/>
      <c r="D37" s="1218"/>
      <c r="E37" s="1218"/>
      <c r="F37" s="1218"/>
      <c r="G37" s="1218"/>
      <c r="H37" s="1218"/>
      <c r="I37" s="1218"/>
      <c r="J37" s="1218"/>
      <c r="K37" s="1218"/>
      <c r="L37" s="1218"/>
      <c r="M37" s="1218"/>
      <c r="N37" s="1218"/>
      <c r="O37" s="1218"/>
      <c r="P37" s="1218"/>
      <c r="Q37" s="1218"/>
      <c r="R37" s="1218"/>
      <c r="S37" s="1218"/>
      <c r="T37" s="1218"/>
      <c r="U37" s="1218"/>
      <c r="V37" s="1218"/>
      <c r="W37" s="1218"/>
      <c r="X37" s="1218"/>
      <c r="Y37" s="1218"/>
      <c r="Z37" s="1218"/>
      <c r="AA37" s="445"/>
      <c r="AB37" s="457"/>
      <c r="AC37" s="457"/>
      <c r="AD37" s="457"/>
      <c r="AE37" s="457"/>
      <c r="AF37" s="457"/>
      <c r="AG37" s="472"/>
      <c r="AH37" s="471"/>
    </row>
    <row r="38" spans="2:34" s="1" customFormat="1" ht="9" customHeight="1">
      <c r="B38" s="338"/>
      <c r="C38" s="461"/>
      <c r="D38" s="461"/>
      <c r="E38" s="461"/>
      <c r="F38" s="461"/>
      <c r="G38" s="461"/>
      <c r="H38" s="461"/>
      <c r="I38" s="461"/>
      <c r="J38" s="461"/>
      <c r="K38" s="461"/>
      <c r="L38" s="461"/>
      <c r="M38" s="461"/>
      <c r="N38" s="461"/>
      <c r="O38" s="461"/>
      <c r="P38" s="461"/>
      <c r="Q38" s="461"/>
      <c r="R38" s="461"/>
      <c r="S38" s="461"/>
      <c r="T38" s="461"/>
      <c r="U38" s="461"/>
      <c r="V38" s="461"/>
      <c r="W38" s="461"/>
      <c r="X38" s="461"/>
      <c r="Y38" s="461"/>
      <c r="Z38" s="461"/>
      <c r="AA38" s="450"/>
      <c r="AB38" s="450"/>
      <c r="AC38" s="450"/>
      <c r="AD38" s="450"/>
      <c r="AE38" s="450"/>
      <c r="AF38" s="450"/>
      <c r="AG38" s="448"/>
      <c r="AH38" s="449"/>
    </row>
    <row r="39" spans="2:34" s="1" customFormat="1" ht="20.100000000000001" customHeight="1">
      <c r="B39" s="338"/>
      <c r="C39" s="908" t="s">
        <v>932</v>
      </c>
      <c r="D39" s="1166"/>
      <c r="E39" s="1166"/>
      <c r="F39" s="1166"/>
      <c r="G39" s="1166"/>
      <c r="H39" s="1166"/>
      <c r="I39" s="1166"/>
      <c r="J39" s="1166"/>
      <c r="K39" s="1166"/>
      <c r="L39" s="1166"/>
      <c r="M39" s="402" t="s">
        <v>194</v>
      </c>
      <c r="N39" s="1" t="s">
        <v>933</v>
      </c>
      <c r="Q39" s="2"/>
      <c r="R39" s="2"/>
      <c r="S39" s="2"/>
      <c r="T39" s="2"/>
      <c r="U39" s="2"/>
      <c r="V39" s="2"/>
      <c r="W39" s="403" t="s">
        <v>194</v>
      </c>
      <c r="X39" s="1" t="s">
        <v>934</v>
      </c>
      <c r="Y39"/>
      <c r="Z39"/>
      <c r="AA39" s="2"/>
      <c r="AB39" s="2"/>
      <c r="AC39" s="2"/>
      <c r="AD39" s="2"/>
      <c r="AE39" s="2"/>
      <c r="AF39" s="2"/>
      <c r="AG39" s="22"/>
      <c r="AH39" s="471"/>
    </row>
    <row r="40" spans="2:34" s="1" customFormat="1" ht="20.100000000000001" customHeight="1">
      <c r="B40" s="338"/>
      <c r="C40" s="1189"/>
      <c r="D40" s="1190"/>
      <c r="E40" s="1190"/>
      <c r="F40" s="1190"/>
      <c r="G40" s="1190"/>
      <c r="H40" s="1190"/>
      <c r="I40" s="1190"/>
      <c r="J40" s="1190"/>
      <c r="K40" s="1190"/>
      <c r="L40" s="1190"/>
      <c r="M40" s="415" t="s">
        <v>194</v>
      </c>
      <c r="N40" s="8" t="s">
        <v>935</v>
      </c>
      <c r="O40" s="8"/>
      <c r="P40" s="8"/>
      <c r="Q40" s="297"/>
      <c r="R40" s="297"/>
      <c r="S40" s="297"/>
      <c r="T40" s="297"/>
      <c r="U40" s="297"/>
      <c r="V40" s="297"/>
      <c r="W40" s="297"/>
      <c r="X40" s="297"/>
      <c r="Y40" s="416"/>
      <c r="Z40" s="8"/>
      <c r="AA40" s="297"/>
      <c r="AB40" s="460"/>
      <c r="AC40" s="460"/>
      <c r="AD40" s="460"/>
      <c r="AE40" s="460"/>
      <c r="AF40" s="460"/>
      <c r="AG40" s="297"/>
      <c r="AH40" s="471"/>
    </row>
    <row r="41" spans="2:34" s="1" customFormat="1" ht="9" customHeight="1">
      <c r="B41" s="338"/>
      <c r="C41" s="369"/>
      <c r="D41" s="369"/>
      <c r="E41" s="369"/>
      <c r="F41" s="369"/>
      <c r="G41" s="369"/>
      <c r="H41" s="369"/>
      <c r="I41" s="369"/>
      <c r="J41" s="369"/>
      <c r="K41" s="369"/>
      <c r="L41" s="369"/>
      <c r="M41" s="403"/>
      <c r="Q41" s="2"/>
      <c r="R41" s="2"/>
      <c r="S41" s="2"/>
      <c r="T41" s="2"/>
      <c r="U41" s="2"/>
      <c r="V41" s="2"/>
      <c r="W41" s="2"/>
      <c r="X41" s="2"/>
      <c r="Y41" s="403"/>
      <c r="AA41" s="2"/>
      <c r="AB41" s="2"/>
      <c r="AC41" s="2"/>
      <c r="AD41" s="2"/>
      <c r="AE41" s="2"/>
      <c r="AF41" s="2"/>
      <c r="AG41" s="2"/>
      <c r="AH41" s="449"/>
    </row>
    <row r="42" spans="2:34" s="1" customFormat="1" ht="20.100000000000001" customHeight="1">
      <c r="B42" s="425"/>
      <c r="C42" s="1218" t="s">
        <v>941</v>
      </c>
      <c r="D42" s="1218"/>
      <c r="E42" s="1218"/>
      <c r="F42" s="1218"/>
      <c r="G42" s="1218"/>
      <c r="H42" s="1218"/>
      <c r="I42" s="1218"/>
      <c r="J42" s="1218"/>
      <c r="K42" s="1228"/>
      <c r="L42" s="1229"/>
      <c r="M42" s="1229"/>
      <c r="N42" s="1229"/>
      <c r="O42" s="1229"/>
      <c r="P42" s="1229"/>
      <c r="Q42" s="1229"/>
      <c r="R42" s="473" t="s">
        <v>34</v>
      </c>
      <c r="S42" s="1229"/>
      <c r="T42" s="1229"/>
      <c r="U42" s="1229"/>
      <c r="V42" s="1229"/>
      <c r="W42" s="1229"/>
      <c r="X42" s="1229"/>
      <c r="Y42" s="1229"/>
      <c r="Z42" s="473" t="s">
        <v>30</v>
      </c>
      <c r="AA42" s="1229"/>
      <c r="AB42" s="1229"/>
      <c r="AC42" s="1229"/>
      <c r="AD42" s="1229"/>
      <c r="AE42" s="1229"/>
      <c r="AF42" s="1229"/>
      <c r="AG42" s="474" t="s">
        <v>376</v>
      </c>
      <c r="AH42" s="475"/>
    </row>
    <row r="43" spans="2:34" s="1" customFormat="1" ht="10.5" customHeight="1">
      <c r="B43" s="476"/>
      <c r="C43" s="461"/>
      <c r="D43" s="461"/>
      <c r="E43" s="461"/>
      <c r="F43" s="461"/>
      <c r="G43" s="461"/>
      <c r="H43" s="461"/>
      <c r="I43" s="461"/>
      <c r="J43" s="461"/>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8"/>
    </row>
    <row r="44" spans="2:34" s="1" customFormat="1" ht="6" customHeight="1">
      <c r="B44" s="369"/>
      <c r="C44" s="369"/>
      <c r="D44" s="369"/>
      <c r="E44" s="369"/>
      <c r="F44" s="369"/>
      <c r="X44" s="479"/>
      <c r="Y44" s="479"/>
    </row>
    <row r="45" spans="2:34" s="1" customFormat="1">
      <c r="B45" s="1230" t="s">
        <v>615</v>
      </c>
      <c r="C45" s="1230"/>
      <c r="D45" s="480" t="s">
        <v>942</v>
      </c>
      <c r="E45" s="481"/>
      <c r="F45" s="481"/>
      <c r="G45" s="481"/>
      <c r="H45" s="481"/>
      <c r="I45" s="481"/>
      <c r="J45" s="481"/>
      <c r="K45" s="481"/>
      <c r="L45" s="481"/>
      <c r="M45" s="481"/>
      <c r="N45" s="481"/>
      <c r="O45" s="481"/>
      <c r="P45" s="481"/>
      <c r="Q45" s="481"/>
      <c r="R45" s="481"/>
      <c r="S45" s="481"/>
      <c r="T45" s="481"/>
      <c r="U45" s="481"/>
      <c r="V45" s="481"/>
      <c r="W45" s="481"/>
      <c r="X45" s="481"/>
      <c r="Y45" s="481"/>
      <c r="Z45" s="481"/>
      <c r="AA45" s="481"/>
      <c r="AB45" s="481"/>
      <c r="AC45" s="481"/>
      <c r="AD45" s="481"/>
      <c r="AE45" s="481"/>
      <c r="AF45" s="481"/>
      <c r="AG45" s="481"/>
      <c r="AH45" s="481"/>
    </row>
    <row r="46" spans="2:34" s="1" customFormat="1" ht="13.5" customHeight="1">
      <c r="B46" s="1230" t="s">
        <v>943</v>
      </c>
      <c r="C46" s="1230"/>
      <c r="D46" s="1231" t="s">
        <v>944</v>
      </c>
      <c r="E46" s="1231"/>
      <c r="F46" s="1231"/>
      <c r="G46" s="1231"/>
      <c r="H46" s="1231"/>
      <c r="I46" s="1231"/>
      <c r="J46" s="1231"/>
      <c r="K46" s="1231"/>
      <c r="L46" s="1231"/>
      <c r="M46" s="1231"/>
      <c r="N46" s="1231"/>
      <c r="O46" s="1231"/>
      <c r="P46" s="1231"/>
      <c r="Q46" s="1231"/>
      <c r="R46" s="1231"/>
      <c r="S46" s="1231"/>
      <c r="T46" s="1231"/>
      <c r="U46" s="1231"/>
      <c r="V46" s="1231"/>
      <c r="W46" s="1231"/>
      <c r="X46" s="1231"/>
      <c r="Y46" s="1231"/>
      <c r="Z46" s="1231"/>
      <c r="AA46" s="1231"/>
      <c r="AB46" s="1231"/>
      <c r="AC46" s="1231"/>
      <c r="AD46" s="1231"/>
      <c r="AE46" s="1231"/>
      <c r="AF46" s="1231"/>
      <c r="AG46" s="1231"/>
      <c r="AH46" s="1231"/>
    </row>
    <row r="47" spans="2:34" s="1" customFormat="1" ht="13.5" customHeight="1">
      <c r="B47" s="482"/>
      <c r="C47" s="482"/>
      <c r="D47" s="1231"/>
      <c r="E47" s="1231"/>
      <c r="F47" s="1231"/>
      <c r="G47" s="1231"/>
      <c r="H47" s="1231"/>
      <c r="I47" s="1231"/>
      <c r="J47" s="1231"/>
      <c r="K47" s="1231"/>
      <c r="L47" s="1231"/>
      <c r="M47" s="1231"/>
      <c r="N47" s="1231"/>
      <c r="O47" s="1231"/>
      <c r="P47" s="1231"/>
      <c r="Q47" s="1231"/>
      <c r="R47" s="1231"/>
      <c r="S47" s="1231"/>
      <c r="T47" s="1231"/>
      <c r="U47" s="1231"/>
      <c r="V47" s="1231"/>
      <c r="W47" s="1231"/>
      <c r="X47" s="1231"/>
      <c r="Y47" s="1231"/>
      <c r="Z47" s="1231"/>
      <c r="AA47" s="1231"/>
      <c r="AB47" s="1231"/>
      <c r="AC47" s="1231"/>
      <c r="AD47" s="1231"/>
      <c r="AE47" s="1231"/>
      <c r="AF47" s="1231"/>
      <c r="AG47" s="1231"/>
      <c r="AH47" s="1231"/>
    </row>
    <row r="48" spans="2:34" s="1" customFormat="1">
      <c r="B48" s="1230" t="s">
        <v>945</v>
      </c>
      <c r="C48" s="1230"/>
      <c r="D48" s="483" t="s">
        <v>946</v>
      </c>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row>
    <row r="49" spans="1:37" ht="13.5" customHeight="1">
      <c r="B49" s="1230" t="s">
        <v>947</v>
      </c>
      <c r="C49" s="1230"/>
      <c r="D49" s="1231" t="s">
        <v>948</v>
      </c>
      <c r="E49" s="1231"/>
      <c r="F49" s="1231"/>
      <c r="G49" s="1231"/>
      <c r="H49" s="1231"/>
      <c r="I49" s="1231"/>
      <c r="J49" s="1231"/>
      <c r="K49" s="1231"/>
      <c r="L49" s="1231"/>
      <c r="M49" s="1231"/>
      <c r="N49" s="1231"/>
      <c r="O49" s="1231"/>
      <c r="P49" s="1231"/>
      <c r="Q49" s="1231"/>
      <c r="R49" s="1231"/>
      <c r="S49" s="1231"/>
      <c r="T49" s="1231"/>
      <c r="U49" s="1231"/>
      <c r="V49" s="1231"/>
      <c r="W49" s="1231"/>
      <c r="X49" s="1231"/>
      <c r="Y49" s="1231"/>
      <c r="Z49" s="1231"/>
      <c r="AA49" s="1231"/>
      <c r="AB49" s="1231"/>
      <c r="AC49" s="1231"/>
      <c r="AD49" s="1231"/>
      <c r="AE49" s="1231"/>
      <c r="AF49" s="1231"/>
      <c r="AG49" s="1231"/>
      <c r="AH49" s="1231"/>
    </row>
    <row r="50" spans="1:37" s="14" customFormat="1" ht="25.2" customHeight="1">
      <c r="B50" s="12"/>
      <c r="C50" s="2"/>
      <c r="D50" s="1231"/>
      <c r="E50" s="1231"/>
      <c r="F50" s="1231"/>
      <c r="G50" s="1231"/>
      <c r="H50" s="1231"/>
      <c r="I50" s="1231"/>
      <c r="J50" s="1231"/>
      <c r="K50" s="1231"/>
      <c r="L50" s="1231"/>
      <c r="M50" s="1231"/>
      <c r="N50" s="1231"/>
      <c r="O50" s="1231"/>
      <c r="P50" s="1231"/>
      <c r="Q50" s="1231"/>
      <c r="R50" s="1231"/>
      <c r="S50" s="1231"/>
      <c r="T50" s="1231"/>
      <c r="U50" s="1231"/>
      <c r="V50" s="1231"/>
      <c r="W50" s="1231"/>
      <c r="X50" s="1231"/>
      <c r="Y50" s="1231"/>
      <c r="Z50" s="1231"/>
      <c r="AA50" s="1231"/>
      <c r="AB50" s="1231"/>
      <c r="AC50" s="1231"/>
      <c r="AD50" s="1231"/>
      <c r="AE50" s="1231"/>
      <c r="AF50" s="1231"/>
      <c r="AG50" s="1231"/>
      <c r="AH50" s="1231"/>
    </row>
    <row r="51" spans="1:37" s="14" customFormat="1" ht="13.5" customHeight="1">
      <c r="A51"/>
      <c r="B51" s="244" t="s">
        <v>949</v>
      </c>
      <c r="C51" s="244"/>
      <c r="D51" s="1227" t="s">
        <v>950</v>
      </c>
      <c r="E51" s="1227"/>
      <c r="F51" s="1227"/>
      <c r="G51" s="1227"/>
      <c r="H51" s="1227"/>
      <c r="I51" s="1227"/>
      <c r="J51" s="1227"/>
      <c r="K51" s="1227"/>
      <c r="L51" s="1227"/>
      <c r="M51" s="1227"/>
      <c r="N51" s="1227"/>
      <c r="O51" s="1227"/>
      <c r="P51" s="1227"/>
      <c r="Q51" s="1227"/>
      <c r="R51" s="1227"/>
      <c r="S51" s="1227"/>
      <c r="T51" s="1227"/>
      <c r="U51" s="1227"/>
      <c r="V51" s="1227"/>
      <c r="W51" s="1227"/>
      <c r="X51" s="1227"/>
      <c r="Y51" s="1227"/>
      <c r="Z51" s="1227"/>
      <c r="AA51" s="1227"/>
      <c r="AB51" s="1227"/>
      <c r="AC51" s="1227"/>
      <c r="AD51" s="1227"/>
      <c r="AE51" s="1227"/>
      <c r="AF51" s="1227"/>
      <c r="AG51" s="1227"/>
      <c r="AH51" s="1227"/>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3"/>
  <dataValidations count="1">
    <dataValidation type="list" allowBlank="1" showInputMessage="1" showErrorMessage="1" sqref="G8:G17 L8 Q8 U13:W13 U9:U11 M24:M25 W24:W25 M39:M41 W39 T12 Y40:Y41" xr:uid="{3CE42E5B-7E55-4ABA-93A2-1A19FF5A159B}">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CE003-4CE4-405B-99D1-762D243416ED}">
  <sheetPr>
    <tabColor rgb="FFFFFF00"/>
    <pageSetUpPr fitToPage="1"/>
  </sheetPr>
  <dimension ref="B1:AK123"/>
  <sheetViews>
    <sheetView view="pageBreakPreview" zoomScaleNormal="100" zoomScaleSheetLayoutView="100" workbookViewId="0"/>
  </sheetViews>
  <sheetFormatPr defaultColWidth="3.44140625" defaultRowHeight="13.2"/>
  <cols>
    <col min="1" max="1" width="1.21875" style="249" customWidth="1"/>
    <col min="2" max="2" width="3" style="270" customWidth="1"/>
    <col min="3" max="6" width="3.44140625" style="249"/>
    <col min="7" max="7" width="1.44140625" style="249" customWidth="1"/>
    <col min="8" max="23" width="3.44140625" style="249"/>
    <col min="24" max="29" width="4" style="249" customWidth="1"/>
    <col min="30" max="30" width="1.21875" style="249" customWidth="1"/>
    <col min="31" max="16384" width="3.44140625" style="249"/>
  </cols>
  <sheetData>
    <row r="1" spans="2:37" s="245" customFormat="1">
      <c r="B1" s="1"/>
      <c r="C1" s="1"/>
      <c r="D1" s="1"/>
      <c r="E1" s="1"/>
    </row>
    <row r="2" spans="2:37" s="245" customFormat="1">
      <c r="B2" s="1" t="s">
        <v>839</v>
      </c>
      <c r="C2" s="1"/>
      <c r="D2" s="1"/>
      <c r="E2" s="1"/>
    </row>
    <row r="3" spans="2:37" s="245" customFormat="1">
      <c r="W3" s="246" t="s">
        <v>313</v>
      </c>
      <c r="X3" s="256"/>
      <c r="Y3" s="256" t="s">
        <v>34</v>
      </c>
      <c r="Z3" s="256"/>
      <c r="AA3" s="256" t="s">
        <v>654</v>
      </c>
      <c r="AB3" s="256"/>
      <c r="AC3" s="256" t="s">
        <v>376</v>
      </c>
    </row>
    <row r="4" spans="2:37" s="245" customFormat="1">
      <c r="AC4" s="246"/>
    </row>
    <row r="5" spans="2:37" s="1" customFormat="1" ht="47.25" customHeight="1">
      <c r="B5" s="1166" t="s">
        <v>530</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row>
    <row r="6" spans="2:37" s="245" customFormat="1"/>
    <row r="7" spans="2:37" s="245" customFormat="1" ht="27" customHeight="1">
      <c r="B7" s="1234" t="s">
        <v>149</v>
      </c>
      <c r="C7" s="1234"/>
      <c r="D7" s="1234"/>
      <c r="E7" s="1234"/>
      <c r="F7" s="1234"/>
      <c r="G7" s="1235"/>
      <c r="H7" s="1236"/>
      <c r="I7" s="1236"/>
      <c r="J7" s="1236"/>
      <c r="K7" s="1236"/>
      <c r="L7" s="1236"/>
      <c r="M7" s="1236"/>
      <c r="N7" s="1236"/>
      <c r="O7" s="1236"/>
      <c r="P7" s="1236"/>
      <c r="Q7" s="1236"/>
      <c r="R7" s="1236"/>
      <c r="S7" s="1236"/>
      <c r="T7" s="1236"/>
      <c r="U7" s="1236"/>
      <c r="V7" s="1236"/>
      <c r="W7" s="1236"/>
      <c r="X7" s="1236"/>
      <c r="Y7" s="1236"/>
      <c r="Z7" s="1236"/>
      <c r="AA7" s="1236"/>
      <c r="AB7" s="1236"/>
      <c r="AC7" s="1237"/>
    </row>
    <row r="8" spans="2:37" ht="27" customHeight="1">
      <c r="B8" s="1232" t="s">
        <v>113</v>
      </c>
      <c r="C8" s="1233"/>
      <c r="D8" s="1233"/>
      <c r="E8" s="1233"/>
      <c r="F8" s="1238"/>
      <c r="G8" s="397"/>
      <c r="H8" s="398" t="s">
        <v>194</v>
      </c>
      <c r="I8" s="364" t="s">
        <v>840</v>
      </c>
      <c r="J8" s="364"/>
      <c r="K8" s="364"/>
      <c r="L8" s="364"/>
      <c r="M8" s="398" t="s">
        <v>194</v>
      </c>
      <c r="N8" s="364" t="s">
        <v>841</v>
      </c>
      <c r="O8" s="364"/>
      <c r="P8" s="364"/>
      <c r="Q8" s="364"/>
      <c r="R8" s="398" t="s">
        <v>194</v>
      </c>
      <c r="S8" s="364" t="s">
        <v>842</v>
      </c>
      <c r="T8" s="364"/>
      <c r="U8" s="247"/>
      <c r="V8" s="247"/>
      <c r="W8" s="247"/>
      <c r="X8" s="247"/>
      <c r="Y8" s="247"/>
      <c r="Z8" s="247"/>
      <c r="AA8" s="247"/>
      <c r="AB8" s="247"/>
      <c r="AC8" s="248"/>
    </row>
    <row r="9" spans="2:37" ht="27" customHeight="1">
      <c r="B9" s="1232" t="s">
        <v>115</v>
      </c>
      <c r="C9" s="1233"/>
      <c r="D9" s="1233"/>
      <c r="E9" s="1233"/>
      <c r="F9" s="1238"/>
      <c r="G9" s="397"/>
      <c r="H9" s="398" t="s">
        <v>194</v>
      </c>
      <c r="I9" s="364" t="s">
        <v>843</v>
      </c>
      <c r="J9" s="364"/>
      <c r="K9" s="364"/>
      <c r="L9" s="364"/>
      <c r="M9" s="364"/>
      <c r="N9" s="364"/>
      <c r="O9" s="364"/>
      <c r="P9" s="364"/>
      <c r="Q9" s="364"/>
      <c r="R9" s="398" t="s">
        <v>194</v>
      </c>
      <c r="S9" s="364" t="s">
        <v>844</v>
      </c>
      <c r="T9" s="364"/>
      <c r="U9" s="247"/>
      <c r="V9" s="247"/>
      <c r="W9" s="247"/>
      <c r="X9" s="247"/>
      <c r="Y9" s="247"/>
      <c r="Z9" s="247"/>
      <c r="AA9" s="247"/>
      <c r="AB9" s="247"/>
      <c r="AC9" s="248"/>
    </row>
    <row r="10" spans="2:37" ht="27" customHeight="1">
      <c r="B10" s="1232" t="s">
        <v>116</v>
      </c>
      <c r="C10" s="1233"/>
      <c r="D10" s="1233"/>
      <c r="E10" s="1233"/>
      <c r="F10" s="1233"/>
      <c r="G10" s="397"/>
      <c r="H10" s="398" t="s">
        <v>194</v>
      </c>
      <c r="I10" s="364" t="s">
        <v>845</v>
      </c>
      <c r="J10" s="364"/>
      <c r="K10" s="364"/>
      <c r="L10" s="364"/>
      <c r="M10" s="364"/>
      <c r="N10" s="364"/>
      <c r="O10" s="364"/>
      <c r="P10" s="364"/>
      <c r="Q10" s="364"/>
      <c r="R10" s="398" t="s">
        <v>194</v>
      </c>
      <c r="S10" s="364" t="s">
        <v>846</v>
      </c>
      <c r="T10" s="364"/>
      <c r="U10" s="247"/>
      <c r="V10" s="247"/>
      <c r="W10" s="247"/>
      <c r="X10" s="247"/>
      <c r="Y10" s="247"/>
      <c r="Z10" s="247"/>
      <c r="AA10" s="247"/>
      <c r="AB10" s="247"/>
      <c r="AC10" s="248"/>
    </row>
    <row r="11" spans="2:37" s="245" customFormat="1"/>
    <row r="12" spans="2:37" s="245" customFormat="1" ht="10.5" customHeight="1">
      <c r="B12" s="250"/>
      <c r="C12" s="251"/>
      <c r="D12" s="251"/>
      <c r="E12" s="251"/>
      <c r="F12" s="252"/>
      <c r="G12" s="251"/>
      <c r="H12" s="251"/>
      <c r="I12" s="251"/>
      <c r="J12" s="251"/>
      <c r="K12" s="251"/>
      <c r="L12" s="251"/>
      <c r="M12" s="251"/>
      <c r="N12" s="251"/>
      <c r="O12" s="251"/>
      <c r="P12" s="251"/>
      <c r="Q12" s="251"/>
      <c r="R12" s="251"/>
      <c r="S12" s="251"/>
      <c r="T12" s="251"/>
      <c r="U12" s="251"/>
      <c r="V12" s="251"/>
      <c r="W12" s="251"/>
      <c r="X12" s="251"/>
      <c r="Y12" s="251"/>
      <c r="Z12" s="251"/>
      <c r="AA12" s="250"/>
      <c r="AB12" s="251"/>
      <c r="AC12" s="252"/>
    </row>
    <row r="13" spans="2:37" s="245" customFormat="1" ht="40.5" customHeight="1">
      <c r="B13" s="1239" t="s">
        <v>531</v>
      </c>
      <c r="C13" s="1240"/>
      <c r="D13" s="1240"/>
      <c r="E13" s="1240"/>
      <c r="F13" s="1241"/>
      <c r="H13" s="1240" t="s">
        <v>134</v>
      </c>
      <c r="I13" s="1240"/>
      <c r="J13" s="1240"/>
      <c r="K13" s="1240"/>
      <c r="L13" s="1240"/>
      <c r="M13" s="1240"/>
      <c r="N13" s="1240"/>
      <c r="O13" s="1240"/>
      <c r="P13" s="1240"/>
      <c r="Q13" s="1240"/>
      <c r="R13" s="1240"/>
      <c r="S13" s="1240"/>
      <c r="T13" s="1240"/>
      <c r="U13" s="1240"/>
      <c r="V13" s="1240"/>
      <c r="W13" s="1240"/>
      <c r="X13" s="1240"/>
      <c r="Y13" s="1240"/>
      <c r="AA13" s="253"/>
      <c r="AC13" s="254"/>
      <c r="AK13" s="255"/>
    </row>
    <row r="14" spans="2:37" s="245" customFormat="1" ht="27" customHeight="1">
      <c r="B14" s="1239"/>
      <c r="C14" s="1240"/>
      <c r="D14" s="1240"/>
      <c r="E14" s="1240"/>
      <c r="F14" s="1241"/>
      <c r="V14" s="256"/>
      <c r="W14" s="256"/>
      <c r="X14" s="256"/>
      <c r="Y14" s="256"/>
      <c r="AA14" s="399" t="s">
        <v>662</v>
      </c>
      <c r="AB14" s="400" t="s">
        <v>663</v>
      </c>
      <c r="AC14" s="401" t="s">
        <v>664</v>
      </c>
      <c r="AK14" s="255"/>
    </row>
    <row r="15" spans="2:37" s="245" customFormat="1" ht="40.5" customHeight="1">
      <c r="B15" s="1239"/>
      <c r="C15" s="1240"/>
      <c r="D15" s="1240"/>
      <c r="E15" s="1240"/>
      <c r="F15" s="1241"/>
      <c r="H15" s="257" t="s">
        <v>142</v>
      </c>
      <c r="I15" s="1242" t="s">
        <v>126</v>
      </c>
      <c r="J15" s="1243"/>
      <c r="K15" s="1243"/>
      <c r="L15" s="1243"/>
      <c r="M15" s="1243"/>
      <c r="N15" s="1243"/>
      <c r="O15" s="1243"/>
      <c r="P15" s="1243"/>
      <c r="Q15" s="1243"/>
      <c r="R15" s="1244"/>
      <c r="S15" s="1232"/>
      <c r="T15" s="1233"/>
      <c r="U15" s="370" t="s">
        <v>97</v>
      </c>
      <c r="V15" s="256"/>
      <c r="W15" s="256"/>
      <c r="X15" s="256"/>
      <c r="Y15" s="256"/>
      <c r="AA15" s="338"/>
      <c r="AB15" s="12"/>
      <c r="AC15" s="385"/>
      <c r="AK15" s="255"/>
    </row>
    <row r="16" spans="2:37" s="245" customFormat="1" ht="40.5" customHeight="1">
      <c r="B16" s="1239"/>
      <c r="C16" s="1240"/>
      <c r="D16" s="1240"/>
      <c r="E16" s="1240"/>
      <c r="F16" s="1241"/>
      <c r="H16" s="257" t="s">
        <v>140</v>
      </c>
      <c r="I16" s="1242" t="s">
        <v>135</v>
      </c>
      <c r="J16" s="1243"/>
      <c r="K16" s="1243"/>
      <c r="L16" s="1243"/>
      <c r="M16" s="1243"/>
      <c r="N16" s="1243"/>
      <c r="O16" s="1243"/>
      <c r="P16" s="1243"/>
      <c r="Q16" s="1243"/>
      <c r="R16" s="1244"/>
      <c r="S16" s="1232"/>
      <c r="T16" s="1233"/>
      <c r="U16" s="370" t="s">
        <v>97</v>
      </c>
      <c r="V16" s="245" t="s">
        <v>141</v>
      </c>
      <c r="W16" s="1245" t="s">
        <v>847</v>
      </c>
      <c r="X16" s="1245"/>
      <c r="Y16" s="1245"/>
      <c r="AA16" s="402" t="s">
        <v>194</v>
      </c>
      <c r="AB16" s="403" t="s">
        <v>663</v>
      </c>
      <c r="AC16" s="404" t="s">
        <v>194</v>
      </c>
      <c r="AK16" s="255"/>
    </row>
    <row r="17" spans="2:37" s="245" customFormat="1" ht="40.5" customHeight="1">
      <c r="B17" s="1239"/>
      <c r="C17" s="1240"/>
      <c r="D17" s="1240"/>
      <c r="E17" s="1240"/>
      <c r="F17" s="1241"/>
      <c r="H17" s="257" t="s">
        <v>148</v>
      </c>
      <c r="I17" s="1242" t="s">
        <v>136</v>
      </c>
      <c r="J17" s="1243"/>
      <c r="K17" s="1243"/>
      <c r="L17" s="1243"/>
      <c r="M17" s="1243"/>
      <c r="N17" s="1243"/>
      <c r="O17" s="1243"/>
      <c r="P17" s="1243"/>
      <c r="Q17" s="1243"/>
      <c r="R17" s="1244"/>
      <c r="S17" s="1232"/>
      <c r="T17" s="1233"/>
      <c r="U17" s="370" t="s">
        <v>97</v>
      </c>
      <c r="V17" s="245" t="s">
        <v>141</v>
      </c>
      <c r="W17" s="1245" t="s">
        <v>848</v>
      </c>
      <c r="X17" s="1245"/>
      <c r="Y17" s="1245"/>
      <c r="AA17" s="402" t="s">
        <v>194</v>
      </c>
      <c r="AB17" s="403" t="s">
        <v>663</v>
      </c>
      <c r="AC17" s="404" t="s">
        <v>194</v>
      </c>
      <c r="AK17" s="255"/>
    </row>
    <row r="18" spans="2:37" s="245" customFormat="1" ht="40.5" customHeight="1">
      <c r="B18" s="371"/>
      <c r="C18" s="372"/>
      <c r="D18" s="372"/>
      <c r="E18" s="372"/>
      <c r="F18" s="373"/>
      <c r="H18" s="257" t="s">
        <v>150</v>
      </c>
      <c r="I18" s="1242" t="s">
        <v>129</v>
      </c>
      <c r="J18" s="1243"/>
      <c r="K18" s="1243"/>
      <c r="L18" s="1243"/>
      <c r="M18" s="1243"/>
      <c r="N18" s="1243"/>
      <c r="O18" s="1243"/>
      <c r="P18" s="1243"/>
      <c r="Q18" s="1243"/>
      <c r="R18" s="1244"/>
      <c r="S18" s="1232"/>
      <c r="T18" s="1233"/>
      <c r="U18" s="370" t="s">
        <v>97</v>
      </c>
      <c r="W18" s="374"/>
      <c r="X18" s="374"/>
      <c r="Y18" s="374"/>
      <c r="AA18" s="375"/>
      <c r="AB18" s="261"/>
      <c r="AC18" s="376"/>
      <c r="AK18" s="255"/>
    </row>
    <row r="19" spans="2:37" s="245" customFormat="1" ht="40.5" customHeight="1">
      <c r="B19" s="258"/>
      <c r="C19" s="259"/>
      <c r="D19" s="259"/>
      <c r="E19" s="259"/>
      <c r="F19" s="260"/>
      <c r="H19" s="257" t="s">
        <v>151</v>
      </c>
      <c r="I19" s="1242" t="s">
        <v>139</v>
      </c>
      <c r="J19" s="1243"/>
      <c r="K19" s="1243"/>
      <c r="L19" s="1243"/>
      <c r="M19" s="1243"/>
      <c r="N19" s="1243"/>
      <c r="O19" s="1243"/>
      <c r="P19" s="1243"/>
      <c r="Q19" s="1243"/>
      <c r="R19" s="1244"/>
      <c r="S19" s="1232"/>
      <c r="T19" s="1233"/>
      <c r="U19" s="370" t="s">
        <v>97</v>
      </c>
      <c r="V19" s="245" t="s">
        <v>141</v>
      </c>
      <c r="W19" s="1245" t="s">
        <v>849</v>
      </c>
      <c r="X19" s="1245"/>
      <c r="Y19" s="1245"/>
      <c r="AA19" s="402" t="s">
        <v>194</v>
      </c>
      <c r="AB19" s="403" t="s">
        <v>663</v>
      </c>
      <c r="AC19" s="404" t="s">
        <v>194</v>
      </c>
      <c r="AK19" s="255"/>
    </row>
    <row r="20" spans="2:37" s="245" customFormat="1">
      <c r="B20" s="258"/>
      <c r="C20" s="259"/>
      <c r="D20" s="259"/>
      <c r="E20" s="259"/>
      <c r="F20" s="260"/>
      <c r="H20" s="261"/>
      <c r="I20" s="262"/>
      <c r="J20" s="262"/>
      <c r="K20" s="262"/>
      <c r="L20" s="262"/>
      <c r="M20" s="262"/>
      <c r="N20" s="262"/>
      <c r="O20" s="262"/>
      <c r="P20" s="262"/>
      <c r="Q20" s="262"/>
      <c r="R20" s="262"/>
      <c r="U20" s="256"/>
      <c r="W20" s="374"/>
      <c r="X20" s="374"/>
      <c r="Y20" s="374"/>
      <c r="AA20" s="375"/>
      <c r="AB20" s="261"/>
      <c r="AC20" s="376"/>
      <c r="AK20" s="255"/>
    </row>
    <row r="21" spans="2:37" s="245" customFormat="1">
      <c r="B21" s="258"/>
      <c r="C21" s="259"/>
      <c r="D21" s="259"/>
      <c r="E21" s="259"/>
      <c r="F21" s="260"/>
      <c r="H21" s="263" t="s">
        <v>130</v>
      </c>
      <c r="I21" s="262"/>
      <c r="J21" s="262"/>
      <c r="K21" s="262"/>
      <c r="L21" s="262"/>
      <c r="M21" s="262"/>
      <c r="N21" s="262"/>
      <c r="O21" s="262"/>
      <c r="P21" s="262"/>
      <c r="Q21" s="262"/>
      <c r="R21" s="262"/>
      <c r="U21" s="256"/>
      <c r="W21" s="374"/>
      <c r="X21" s="374"/>
      <c r="Y21" s="374"/>
      <c r="AA21" s="375"/>
      <c r="AB21" s="261"/>
      <c r="AC21" s="376"/>
      <c r="AK21" s="255"/>
    </row>
    <row r="22" spans="2:37" s="245" customFormat="1" ht="58.5" customHeight="1">
      <c r="B22" s="258"/>
      <c r="C22" s="259"/>
      <c r="D22" s="259"/>
      <c r="E22" s="259"/>
      <c r="F22" s="260"/>
      <c r="H22" s="1246" t="s">
        <v>131</v>
      </c>
      <c r="I22" s="1247"/>
      <c r="J22" s="1247"/>
      <c r="K22" s="1247"/>
      <c r="L22" s="1248"/>
      <c r="M22" s="264" t="s">
        <v>132</v>
      </c>
      <c r="N22" s="265"/>
      <c r="O22" s="265"/>
      <c r="P22" s="1249"/>
      <c r="Q22" s="1249"/>
      <c r="R22" s="1249"/>
      <c r="S22" s="1249"/>
      <c r="T22" s="1249"/>
      <c r="U22" s="370" t="s">
        <v>97</v>
      </c>
      <c r="V22" s="245" t="s">
        <v>141</v>
      </c>
      <c r="W22" s="1245" t="s">
        <v>133</v>
      </c>
      <c r="X22" s="1245"/>
      <c r="Y22" s="1245"/>
      <c r="AA22" s="402" t="s">
        <v>194</v>
      </c>
      <c r="AB22" s="403" t="s">
        <v>663</v>
      </c>
      <c r="AC22" s="404" t="s">
        <v>194</v>
      </c>
      <c r="AK22" s="255"/>
    </row>
    <row r="23" spans="2:37" s="245" customFormat="1">
      <c r="B23" s="266"/>
      <c r="C23" s="267"/>
      <c r="D23" s="267"/>
      <c r="E23" s="267"/>
      <c r="F23" s="268"/>
      <c r="G23" s="267"/>
      <c r="H23" s="267"/>
      <c r="I23" s="267"/>
      <c r="J23" s="267"/>
      <c r="K23" s="267"/>
      <c r="L23" s="267"/>
      <c r="M23" s="267"/>
      <c r="N23" s="267"/>
      <c r="O23" s="267"/>
      <c r="P23" s="267"/>
      <c r="Q23" s="267"/>
      <c r="R23" s="267"/>
      <c r="S23" s="267"/>
      <c r="T23" s="267"/>
      <c r="U23" s="267"/>
      <c r="V23" s="267"/>
      <c r="W23" s="267"/>
      <c r="X23" s="267"/>
      <c r="Y23" s="267"/>
      <c r="Z23" s="267"/>
      <c r="AA23" s="266"/>
      <c r="AB23" s="267"/>
      <c r="AC23" s="268"/>
    </row>
    <row r="24" spans="2:37" s="1" customFormat="1" ht="38.25" customHeight="1">
      <c r="B24" s="915" t="s">
        <v>532</v>
      </c>
      <c r="C24" s="915"/>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row>
    <row r="25" spans="2:37" s="245" customFormat="1" ht="47.25" customHeight="1">
      <c r="B25" s="1240" t="s">
        <v>533</v>
      </c>
      <c r="C25" s="1240"/>
      <c r="D25" s="1240"/>
      <c r="E25" s="1240"/>
      <c r="F25" s="1240"/>
      <c r="G25" s="1240"/>
      <c r="H25" s="1240"/>
      <c r="I25" s="1240"/>
      <c r="J25" s="1240"/>
      <c r="K25" s="1240"/>
      <c r="L25" s="1240"/>
      <c r="M25" s="1240"/>
      <c r="N25" s="1240"/>
      <c r="O25" s="1240"/>
      <c r="P25" s="1240"/>
      <c r="Q25" s="1240"/>
      <c r="R25" s="1240"/>
      <c r="S25" s="1240"/>
      <c r="T25" s="1240"/>
      <c r="U25" s="1240"/>
      <c r="V25" s="1240"/>
      <c r="W25" s="1240"/>
      <c r="X25" s="1240"/>
      <c r="Y25" s="1240"/>
      <c r="Z25" s="1240"/>
      <c r="AA25" s="1240"/>
      <c r="AB25" s="1240"/>
      <c r="AC25" s="1240"/>
    </row>
    <row r="26" spans="2:37" s="245" customFormat="1">
      <c r="B26" s="269"/>
      <c r="C26" s="269"/>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row>
    <row r="27" spans="2:37" s="269" customFormat="1"/>
    <row r="122" spans="3:7">
      <c r="C122" s="405"/>
      <c r="D122" s="405"/>
      <c r="E122" s="405"/>
      <c r="F122" s="405"/>
      <c r="G122" s="405"/>
    </row>
    <row r="123" spans="3:7">
      <c r="C123" s="40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3"/>
  <dataValidations count="1">
    <dataValidation type="list" allowBlank="1" showInputMessage="1" showErrorMessage="1" sqref="H8:H10 M8 R8:R10 AA16:AA17 AC16:AC17 AA19 AC19 AA22 AC22" xr:uid="{FAFC7259-981D-4138-A8A3-E974862EE655}">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BA66"/>
  <sheetViews>
    <sheetView view="pageBreakPreview" zoomScale="75" zoomScaleNormal="85" zoomScaleSheetLayoutView="75" workbookViewId="0">
      <pane xSplit="3" ySplit="18" topLeftCell="D37" activePane="bottomRight" state="frozen"/>
      <selection activeCell="J23" sqref="J23:L23"/>
      <selection pane="topRight" activeCell="J23" sqref="J23:L23"/>
      <selection pane="bottomLeft" activeCell="J23" sqref="J23:L23"/>
      <selection pane="bottomRight" activeCell="H21" sqref="H21"/>
    </sheetView>
  </sheetViews>
  <sheetFormatPr defaultColWidth="9" defaultRowHeight="12"/>
  <cols>
    <col min="1" max="1" width="1" style="85" customWidth="1"/>
    <col min="2" max="2" width="8.21875" style="85" customWidth="1"/>
    <col min="3" max="3" width="29" style="87" customWidth="1"/>
    <col min="4" max="22" width="5.6640625" style="85" customWidth="1"/>
    <col min="23" max="23" width="100.6640625" style="85" customWidth="1"/>
    <col min="24" max="24" width="1.109375" style="85" customWidth="1"/>
    <col min="25" max="53" width="3.109375" style="85" customWidth="1"/>
    <col min="54" max="16384" width="9" style="85"/>
  </cols>
  <sheetData>
    <row r="1" spans="2:53" ht="16.2">
      <c r="B1" s="97" t="s">
        <v>201</v>
      </c>
    </row>
    <row r="3" spans="2:53" s="86" customFormat="1" ht="13.5" customHeight="1">
      <c r="B3" s="99"/>
      <c r="C3" s="100" t="s">
        <v>192</v>
      </c>
      <c r="D3" s="813" t="s">
        <v>1488</v>
      </c>
      <c r="E3" s="814">
        <v>2</v>
      </c>
      <c r="F3" s="813">
        <v>5</v>
      </c>
      <c r="G3" s="813">
        <v>6</v>
      </c>
      <c r="H3" s="815">
        <v>7</v>
      </c>
      <c r="I3" s="816" t="s">
        <v>1054</v>
      </c>
      <c r="J3" s="817" t="s">
        <v>1028</v>
      </c>
      <c r="K3" s="813" t="s">
        <v>1016</v>
      </c>
      <c r="L3" s="813" t="s">
        <v>858</v>
      </c>
      <c r="M3" s="813">
        <v>27</v>
      </c>
      <c r="N3" s="815">
        <v>28</v>
      </c>
      <c r="O3" s="813">
        <v>34</v>
      </c>
      <c r="P3" s="813">
        <v>35</v>
      </c>
      <c r="Q3" s="813">
        <v>37</v>
      </c>
      <c r="R3" s="813" t="s">
        <v>852</v>
      </c>
      <c r="S3" s="813">
        <v>38</v>
      </c>
      <c r="T3" s="813">
        <v>39</v>
      </c>
      <c r="U3" s="813">
        <v>40</v>
      </c>
      <c r="V3" s="817">
        <v>41</v>
      </c>
      <c r="W3" s="105" t="s">
        <v>233</v>
      </c>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row>
    <row r="4" spans="2:53" ht="12" customHeight="1">
      <c r="B4" s="101"/>
      <c r="C4" s="102"/>
      <c r="D4" s="882" t="s">
        <v>197</v>
      </c>
      <c r="E4" s="882" t="s">
        <v>436</v>
      </c>
      <c r="F4" s="879" t="s">
        <v>1046</v>
      </c>
      <c r="G4" s="885" t="s">
        <v>1193</v>
      </c>
      <c r="H4" s="885" t="s">
        <v>203</v>
      </c>
      <c r="I4" s="879" t="s">
        <v>515</v>
      </c>
      <c r="J4" s="885" t="s">
        <v>653</v>
      </c>
      <c r="K4" s="885" t="s">
        <v>589</v>
      </c>
      <c r="L4" s="882" t="s">
        <v>618</v>
      </c>
      <c r="M4" s="882" t="s">
        <v>624</v>
      </c>
      <c r="N4" s="885" t="s">
        <v>1000</v>
      </c>
      <c r="O4" s="882" t="s">
        <v>619</v>
      </c>
      <c r="P4" s="885" t="s">
        <v>951</v>
      </c>
      <c r="Q4" s="885" t="s">
        <v>621</v>
      </c>
      <c r="R4" s="895" t="s">
        <v>622</v>
      </c>
      <c r="S4" s="882" t="s">
        <v>620</v>
      </c>
      <c r="T4" s="882" t="s">
        <v>623</v>
      </c>
      <c r="U4" s="885" t="s">
        <v>908</v>
      </c>
      <c r="V4" s="892" t="s">
        <v>190</v>
      </c>
      <c r="W4" s="889" t="s">
        <v>1480</v>
      </c>
      <c r="X4" s="91"/>
      <c r="Y4" s="91"/>
      <c r="Z4" s="91"/>
      <c r="AA4" s="91"/>
      <c r="AB4" s="94"/>
      <c r="AC4" s="91"/>
      <c r="AD4" s="91"/>
      <c r="AE4" s="91"/>
      <c r="AF4" s="91"/>
      <c r="AG4" s="92"/>
      <c r="AH4" s="91"/>
      <c r="AI4" s="91"/>
      <c r="AJ4" s="91" t="s">
        <v>200</v>
      </c>
      <c r="AK4" s="91"/>
      <c r="AL4" s="91" t="s">
        <v>199</v>
      </c>
      <c r="AM4" s="94"/>
      <c r="AN4" s="94"/>
      <c r="AO4" s="91"/>
      <c r="AP4" s="91"/>
      <c r="AV4" s="91"/>
      <c r="BA4" s="898"/>
    </row>
    <row r="5" spans="2:53">
      <c r="B5" s="101"/>
      <c r="C5" s="102"/>
      <c r="D5" s="883"/>
      <c r="E5" s="883"/>
      <c r="F5" s="880"/>
      <c r="G5" s="886"/>
      <c r="H5" s="886"/>
      <c r="I5" s="880"/>
      <c r="J5" s="886"/>
      <c r="K5" s="886"/>
      <c r="L5" s="883"/>
      <c r="M5" s="883"/>
      <c r="N5" s="886"/>
      <c r="O5" s="883"/>
      <c r="P5" s="886"/>
      <c r="Q5" s="886"/>
      <c r="R5" s="896"/>
      <c r="S5" s="883"/>
      <c r="T5" s="883"/>
      <c r="U5" s="886"/>
      <c r="V5" s="893"/>
      <c r="W5" s="890"/>
      <c r="X5" s="91"/>
      <c r="Y5" s="91"/>
      <c r="Z5" s="91"/>
      <c r="AA5" s="91"/>
      <c r="AB5" s="91"/>
      <c r="AC5" s="91"/>
      <c r="AD5" s="91"/>
      <c r="AE5" s="91"/>
      <c r="AF5" s="91"/>
      <c r="AG5" s="92"/>
      <c r="AH5" s="91"/>
      <c r="AI5" s="91"/>
      <c r="AJ5" s="91"/>
      <c r="AK5" s="91"/>
      <c r="AL5" s="91"/>
      <c r="AM5" s="91"/>
      <c r="AN5" s="91"/>
      <c r="AO5" s="91"/>
      <c r="AP5" s="91"/>
      <c r="AS5" s="91"/>
      <c r="AT5" s="92"/>
      <c r="AU5" s="91"/>
      <c r="AV5" s="91"/>
      <c r="AW5" s="91"/>
      <c r="AX5" s="91"/>
      <c r="AY5" s="91"/>
      <c r="AZ5" s="91"/>
      <c r="BA5" s="898"/>
    </row>
    <row r="6" spans="2:53">
      <c r="B6" s="101"/>
      <c r="C6" s="102"/>
      <c r="D6" s="883"/>
      <c r="E6" s="883"/>
      <c r="F6" s="880"/>
      <c r="G6" s="886"/>
      <c r="H6" s="886"/>
      <c r="I6" s="880"/>
      <c r="J6" s="886"/>
      <c r="K6" s="886"/>
      <c r="L6" s="883"/>
      <c r="M6" s="883"/>
      <c r="N6" s="886"/>
      <c r="O6" s="883"/>
      <c r="P6" s="886"/>
      <c r="Q6" s="886"/>
      <c r="R6" s="896"/>
      <c r="S6" s="883"/>
      <c r="T6" s="883"/>
      <c r="U6" s="886"/>
      <c r="V6" s="893"/>
      <c r="W6" s="890"/>
      <c r="X6" s="91"/>
      <c r="Y6" s="91"/>
      <c r="Z6" s="91"/>
      <c r="AA6" s="91"/>
      <c r="AB6" s="91"/>
      <c r="AC6" s="91"/>
      <c r="AD6" s="91"/>
      <c r="AE6" s="91"/>
      <c r="AF6" s="91"/>
      <c r="AG6" s="92"/>
      <c r="AH6" s="91"/>
      <c r="AI6" s="91"/>
      <c r="AJ6" s="91"/>
      <c r="AK6" s="91"/>
      <c r="AL6" s="91"/>
      <c r="AM6" s="91"/>
      <c r="AN6" s="91"/>
      <c r="AO6" s="91"/>
      <c r="AP6" s="91"/>
      <c r="AS6" s="91"/>
      <c r="AT6" s="92"/>
      <c r="AU6" s="91"/>
      <c r="AV6" s="91"/>
      <c r="AW6" s="91"/>
      <c r="AX6" s="91"/>
      <c r="AY6" s="91"/>
      <c r="AZ6" s="91"/>
      <c r="BA6" s="898"/>
    </row>
    <row r="7" spans="2:53">
      <c r="B7" s="101"/>
      <c r="C7" s="102"/>
      <c r="D7" s="883"/>
      <c r="E7" s="883"/>
      <c r="F7" s="880"/>
      <c r="G7" s="886"/>
      <c r="H7" s="886"/>
      <c r="I7" s="880"/>
      <c r="J7" s="886"/>
      <c r="K7" s="886"/>
      <c r="L7" s="883"/>
      <c r="M7" s="883"/>
      <c r="N7" s="886"/>
      <c r="O7" s="883"/>
      <c r="P7" s="886"/>
      <c r="Q7" s="886"/>
      <c r="R7" s="896"/>
      <c r="S7" s="883"/>
      <c r="T7" s="883"/>
      <c r="U7" s="886"/>
      <c r="V7" s="893"/>
      <c r="W7" s="890"/>
      <c r="X7" s="91"/>
      <c r="Y7" s="91"/>
      <c r="Z7" s="91"/>
      <c r="AA7" s="91"/>
      <c r="AB7" s="91"/>
      <c r="AC7" s="91"/>
      <c r="AD7" s="91"/>
      <c r="AE7" s="91"/>
      <c r="AF7" s="91"/>
      <c r="AG7" s="92"/>
      <c r="AH7" s="91"/>
      <c r="AI7" s="91"/>
      <c r="AJ7" s="91"/>
      <c r="AK7" s="91"/>
      <c r="AL7" s="91"/>
      <c r="AM7" s="91"/>
      <c r="AN7" s="91"/>
      <c r="AO7" s="91"/>
      <c r="AP7" s="91"/>
      <c r="AS7" s="91"/>
      <c r="AT7" s="92"/>
      <c r="AU7" s="91"/>
      <c r="AV7" s="91"/>
      <c r="AW7" s="91"/>
      <c r="AX7" s="91"/>
      <c r="AY7" s="91"/>
      <c r="AZ7" s="91"/>
      <c r="BA7" s="898"/>
    </row>
    <row r="8" spans="2:53">
      <c r="B8" s="101"/>
      <c r="C8" s="102"/>
      <c r="D8" s="883"/>
      <c r="E8" s="883"/>
      <c r="F8" s="880"/>
      <c r="G8" s="886"/>
      <c r="H8" s="886"/>
      <c r="I8" s="880"/>
      <c r="J8" s="886"/>
      <c r="K8" s="886"/>
      <c r="L8" s="883"/>
      <c r="M8" s="883"/>
      <c r="N8" s="886"/>
      <c r="O8" s="883"/>
      <c r="P8" s="886"/>
      <c r="Q8" s="886"/>
      <c r="R8" s="896"/>
      <c r="S8" s="883"/>
      <c r="T8" s="883"/>
      <c r="U8" s="886"/>
      <c r="V8" s="893"/>
      <c r="W8" s="890"/>
      <c r="X8" s="91"/>
      <c r="Y8" s="91"/>
      <c r="Z8" s="91"/>
      <c r="AA8" s="91"/>
      <c r="AB8" s="91"/>
      <c r="AC8" s="91"/>
      <c r="AD8" s="91"/>
      <c r="AE8" s="91"/>
      <c r="AF8" s="91"/>
      <c r="AG8" s="92"/>
      <c r="AH8" s="91"/>
      <c r="AI8" s="91"/>
      <c r="AJ8" s="91"/>
      <c r="AK8" s="91"/>
      <c r="AL8" s="91"/>
      <c r="AM8" s="91"/>
      <c r="AN8" s="91"/>
      <c r="AO8" s="91"/>
      <c r="AP8" s="91"/>
      <c r="AS8" s="91"/>
      <c r="AT8" s="92"/>
      <c r="AU8" s="91"/>
      <c r="AV8" s="91"/>
      <c r="AW8" s="91"/>
      <c r="AX8" s="91"/>
      <c r="AY8" s="91"/>
      <c r="AZ8" s="91"/>
      <c r="BA8" s="898"/>
    </row>
    <row r="9" spans="2:53">
      <c r="B9" s="101"/>
      <c r="C9" s="102"/>
      <c r="D9" s="883"/>
      <c r="E9" s="883"/>
      <c r="F9" s="880"/>
      <c r="G9" s="886"/>
      <c r="H9" s="886"/>
      <c r="I9" s="880"/>
      <c r="J9" s="886"/>
      <c r="K9" s="886"/>
      <c r="L9" s="883"/>
      <c r="M9" s="883"/>
      <c r="N9" s="886"/>
      <c r="O9" s="883"/>
      <c r="P9" s="886"/>
      <c r="Q9" s="886"/>
      <c r="R9" s="896"/>
      <c r="S9" s="883"/>
      <c r="T9" s="883"/>
      <c r="U9" s="886"/>
      <c r="V9" s="893"/>
      <c r="W9" s="890"/>
      <c r="X9" s="91"/>
      <c r="Y9" s="91"/>
      <c r="Z9" s="91"/>
      <c r="AA9" s="91"/>
      <c r="AB9" s="91"/>
      <c r="AC9" s="91"/>
      <c r="AD9" s="91"/>
      <c r="AE9" s="91"/>
      <c r="AF9" s="91"/>
      <c r="AG9" s="92"/>
      <c r="AH9" s="91"/>
      <c r="AI9" s="91"/>
      <c r="AJ9" s="91"/>
      <c r="AK9" s="91"/>
      <c r="AL9" s="91"/>
      <c r="AM9" s="91"/>
      <c r="AN9" s="91"/>
      <c r="AO9" s="91"/>
      <c r="AP9" s="91"/>
      <c r="AS9" s="91"/>
      <c r="AT9" s="92"/>
      <c r="AU9" s="91"/>
      <c r="AV9" s="91"/>
      <c r="AW9" s="91"/>
      <c r="AX9" s="91"/>
      <c r="AY9" s="91"/>
      <c r="AZ9" s="91"/>
      <c r="BA9" s="898"/>
    </row>
    <row r="10" spans="2:53">
      <c r="B10" s="101"/>
      <c r="C10" s="102"/>
      <c r="D10" s="883"/>
      <c r="E10" s="883"/>
      <c r="F10" s="880"/>
      <c r="G10" s="886"/>
      <c r="H10" s="886"/>
      <c r="I10" s="880"/>
      <c r="J10" s="886"/>
      <c r="K10" s="886"/>
      <c r="L10" s="883"/>
      <c r="M10" s="883"/>
      <c r="N10" s="886"/>
      <c r="O10" s="883"/>
      <c r="P10" s="886"/>
      <c r="Q10" s="886"/>
      <c r="R10" s="896"/>
      <c r="S10" s="883"/>
      <c r="T10" s="883"/>
      <c r="U10" s="886"/>
      <c r="V10" s="893"/>
      <c r="W10" s="890"/>
      <c r="X10" s="91"/>
      <c r="Y10" s="91"/>
      <c r="Z10" s="91"/>
      <c r="AA10" s="91"/>
      <c r="AB10" s="91"/>
      <c r="AC10" s="91"/>
      <c r="AD10" s="91"/>
      <c r="AE10" s="91"/>
      <c r="AF10" s="91"/>
      <c r="AG10" s="92"/>
      <c r="AH10" s="91"/>
      <c r="AI10" s="91"/>
      <c r="AJ10" s="91"/>
      <c r="AK10" s="91"/>
      <c r="AL10" s="91"/>
      <c r="AM10" s="91"/>
      <c r="AN10" s="91"/>
      <c r="AO10" s="91"/>
      <c r="AP10" s="91"/>
      <c r="AS10" s="91"/>
      <c r="AT10" s="92"/>
      <c r="AU10" s="91"/>
      <c r="AV10" s="91"/>
      <c r="AW10" s="91"/>
      <c r="AX10" s="91"/>
      <c r="AY10" s="91"/>
      <c r="AZ10" s="91"/>
      <c r="BA10" s="898"/>
    </row>
    <row r="11" spans="2:53">
      <c r="B11" s="101"/>
      <c r="C11" s="102"/>
      <c r="D11" s="883"/>
      <c r="E11" s="883"/>
      <c r="F11" s="880"/>
      <c r="G11" s="886"/>
      <c r="H11" s="886"/>
      <c r="I11" s="880"/>
      <c r="J11" s="886"/>
      <c r="K11" s="886"/>
      <c r="L11" s="883"/>
      <c r="M11" s="883"/>
      <c r="N11" s="886"/>
      <c r="O11" s="883"/>
      <c r="P11" s="886"/>
      <c r="Q11" s="886"/>
      <c r="R11" s="896"/>
      <c r="S11" s="883"/>
      <c r="T11" s="883"/>
      <c r="U11" s="886"/>
      <c r="V11" s="893"/>
      <c r="W11" s="890"/>
      <c r="X11" s="91"/>
      <c r="Y11" s="91"/>
      <c r="Z11" s="91"/>
      <c r="AA11" s="91"/>
      <c r="AB11" s="91"/>
      <c r="AC11" s="91"/>
      <c r="AD11" s="91"/>
      <c r="AE11" s="91"/>
      <c r="AF11" s="91"/>
      <c r="AG11" s="92"/>
      <c r="AH11" s="91"/>
      <c r="AI11" s="91"/>
      <c r="AJ11" s="91"/>
      <c r="AK11" s="91"/>
      <c r="AL11" s="91"/>
      <c r="AM11" s="91"/>
      <c r="AN11" s="91"/>
      <c r="AO11" s="91"/>
      <c r="AP11" s="91"/>
      <c r="AS11" s="91"/>
      <c r="AT11" s="92"/>
      <c r="AU11" s="91"/>
      <c r="AV11" s="91"/>
      <c r="AW11" s="91"/>
      <c r="AX11" s="91"/>
      <c r="AY11" s="91"/>
      <c r="AZ11" s="91"/>
      <c r="BA11" s="898"/>
    </row>
    <row r="12" spans="2:53">
      <c r="B12" s="101"/>
      <c r="C12" s="102"/>
      <c r="D12" s="883"/>
      <c r="E12" s="883"/>
      <c r="F12" s="880"/>
      <c r="G12" s="886"/>
      <c r="H12" s="886"/>
      <c r="I12" s="880"/>
      <c r="J12" s="886"/>
      <c r="K12" s="886"/>
      <c r="L12" s="883"/>
      <c r="M12" s="883"/>
      <c r="N12" s="886"/>
      <c r="O12" s="883"/>
      <c r="P12" s="886"/>
      <c r="Q12" s="886"/>
      <c r="R12" s="896"/>
      <c r="S12" s="883"/>
      <c r="T12" s="883"/>
      <c r="U12" s="886"/>
      <c r="V12" s="893"/>
      <c r="W12" s="890"/>
      <c r="X12" s="91"/>
      <c r="Y12" s="91"/>
      <c r="Z12" s="91"/>
      <c r="AA12" s="91"/>
      <c r="AB12" s="91"/>
      <c r="AC12" s="91"/>
      <c r="AD12" s="91"/>
      <c r="AE12" s="91"/>
      <c r="AF12" s="91"/>
      <c r="AG12" s="92"/>
      <c r="AH12" s="91"/>
      <c r="AI12" s="91"/>
      <c r="AJ12" s="91"/>
      <c r="AK12" s="91"/>
      <c r="AL12" s="91"/>
      <c r="AM12" s="91"/>
      <c r="AN12" s="91"/>
      <c r="AO12" s="91"/>
      <c r="AP12" s="91"/>
      <c r="AS12" s="91"/>
      <c r="AT12" s="92"/>
      <c r="AU12" s="91"/>
      <c r="AV12" s="91"/>
      <c r="AW12" s="91"/>
      <c r="AX12" s="91"/>
      <c r="AY12" s="91"/>
      <c r="AZ12" s="91"/>
      <c r="BA12" s="898"/>
    </row>
    <row r="13" spans="2:53">
      <c r="B13" s="101"/>
      <c r="C13" s="102"/>
      <c r="D13" s="883"/>
      <c r="E13" s="883"/>
      <c r="F13" s="880"/>
      <c r="G13" s="886"/>
      <c r="H13" s="886"/>
      <c r="I13" s="880"/>
      <c r="J13" s="886"/>
      <c r="K13" s="886"/>
      <c r="L13" s="883"/>
      <c r="M13" s="883"/>
      <c r="N13" s="886"/>
      <c r="O13" s="883"/>
      <c r="P13" s="886"/>
      <c r="Q13" s="886"/>
      <c r="R13" s="896"/>
      <c r="S13" s="883"/>
      <c r="T13" s="883"/>
      <c r="U13" s="886"/>
      <c r="V13" s="893"/>
      <c r="W13" s="890"/>
      <c r="X13" s="91"/>
      <c r="Y13" s="91"/>
      <c r="Z13" s="91"/>
      <c r="AA13" s="91"/>
      <c r="AB13" s="91"/>
      <c r="AC13" s="91"/>
      <c r="AD13" s="91"/>
      <c r="AE13" s="91"/>
      <c r="AF13" s="91"/>
      <c r="AG13" s="92"/>
      <c r="AH13" s="91"/>
      <c r="AI13" s="91"/>
      <c r="AJ13" s="91"/>
      <c r="AK13" s="91"/>
      <c r="AL13" s="91"/>
      <c r="AM13" s="91"/>
      <c r="AN13" s="91"/>
      <c r="AO13" s="91"/>
      <c r="AP13" s="91"/>
      <c r="AS13" s="91"/>
      <c r="AT13" s="92"/>
      <c r="AU13" s="91"/>
      <c r="AV13" s="91"/>
      <c r="AW13" s="91"/>
      <c r="AX13" s="91"/>
      <c r="AY13" s="91"/>
      <c r="AZ13" s="91"/>
      <c r="BA13" s="898"/>
    </row>
    <row r="14" spans="2:53">
      <c r="B14" s="101"/>
      <c r="C14" s="102"/>
      <c r="D14" s="883"/>
      <c r="E14" s="883"/>
      <c r="F14" s="880"/>
      <c r="G14" s="886"/>
      <c r="H14" s="886"/>
      <c r="I14" s="880"/>
      <c r="J14" s="886"/>
      <c r="K14" s="886"/>
      <c r="L14" s="883"/>
      <c r="M14" s="883"/>
      <c r="N14" s="886"/>
      <c r="O14" s="883"/>
      <c r="P14" s="886"/>
      <c r="Q14" s="886"/>
      <c r="R14" s="896"/>
      <c r="S14" s="883"/>
      <c r="T14" s="883"/>
      <c r="U14" s="886"/>
      <c r="V14" s="893"/>
      <c r="W14" s="890"/>
      <c r="X14" s="91"/>
      <c r="Y14" s="91"/>
      <c r="Z14" s="91"/>
      <c r="AA14" s="91"/>
      <c r="AB14" s="91"/>
      <c r="AC14" s="91"/>
      <c r="AD14" s="91"/>
      <c r="AE14" s="91"/>
      <c r="AF14" s="91"/>
      <c r="AG14" s="92"/>
      <c r="AH14" s="91"/>
      <c r="AI14" s="91"/>
      <c r="AJ14" s="91"/>
      <c r="AK14" s="91"/>
      <c r="AL14" s="91"/>
      <c r="AM14" s="91"/>
      <c r="AN14" s="91"/>
      <c r="AO14" s="91"/>
      <c r="AP14" s="91"/>
      <c r="AS14" s="91"/>
      <c r="AT14" s="92"/>
      <c r="AU14" s="91"/>
      <c r="AV14" s="91"/>
      <c r="AW14" s="91"/>
      <c r="AX14" s="91"/>
      <c r="AY14" s="91"/>
      <c r="AZ14" s="91"/>
      <c r="BA14" s="898"/>
    </row>
    <row r="15" spans="2:53">
      <c r="B15" s="101"/>
      <c r="C15" s="102"/>
      <c r="D15" s="883"/>
      <c r="E15" s="883"/>
      <c r="F15" s="880"/>
      <c r="G15" s="886"/>
      <c r="H15" s="886"/>
      <c r="I15" s="880"/>
      <c r="J15" s="886"/>
      <c r="K15" s="886"/>
      <c r="L15" s="883"/>
      <c r="M15" s="883"/>
      <c r="N15" s="886"/>
      <c r="O15" s="883"/>
      <c r="P15" s="886"/>
      <c r="Q15" s="886"/>
      <c r="R15" s="896"/>
      <c r="S15" s="883"/>
      <c r="T15" s="883"/>
      <c r="U15" s="886"/>
      <c r="V15" s="893"/>
      <c r="W15" s="890"/>
      <c r="X15" s="91"/>
      <c r="Y15" s="91"/>
      <c r="Z15" s="91"/>
      <c r="AA15" s="91"/>
      <c r="AB15" s="91"/>
      <c r="AC15" s="91"/>
      <c r="AD15" s="91"/>
      <c r="AE15" s="91"/>
      <c r="AF15" s="91"/>
      <c r="AG15" s="92"/>
      <c r="AH15" s="91"/>
      <c r="AI15" s="91"/>
      <c r="AJ15" s="91"/>
      <c r="AK15" s="91"/>
      <c r="AL15" s="91"/>
      <c r="AM15" s="91"/>
      <c r="AN15" s="91"/>
      <c r="AO15" s="91"/>
      <c r="AP15" s="91"/>
      <c r="AS15" s="91"/>
      <c r="AT15" s="92"/>
      <c r="AU15" s="91"/>
      <c r="AV15" s="91"/>
      <c r="AW15" s="91"/>
      <c r="AX15" s="91"/>
      <c r="AY15" s="91"/>
      <c r="AZ15" s="91"/>
      <c r="BA15" s="898"/>
    </row>
    <row r="16" spans="2:53">
      <c r="B16" s="101"/>
      <c r="C16" s="102"/>
      <c r="D16" s="883"/>
      <c r="E16" s="883"/>
      <c r="F16" s="880"/>
      <c r="G16" s="886"/>
      <c r="H16" s="886"/>
      <c r="I16" s="880"/>
      <c r="J16" s="886"/>
      <c r="K16" s="886"/>
      <c r="L16" s="883"/>
      <c r="M16" s="883"/>
      <c r="N16" s="886"/>
      <c r="O16" s="883"/>
      <c r="P16" s="886"/>
      <c r="Q16" s="886"/>
      <c r="R16" s="896"/>
      <c r="S16" s="883"/>
      <c r="T16" s="883"/>
      <c r="U16" s="886"/>
      <c r="V16" s="893"/>
      <c r="W16" s="890"/>
      <c r="X16" s="91"/>
      <c r="Y16" s="91"/>
      <c r="Z16" s="91"/>
      <c r="AA16" s="91"/>
      <c r="AB16" s="91"/>
      <c r="AC16" s="91"/>
      <c r="AD16" s="91"/>
      <c r="AE16" s="91"/>
      <c r="AF16" s="91"/>
      <c r="AG16" s="92"/>
      <c r="AH16" s="91"/>
      <c r="AI16" s="91"/>
      <c r="AJ16" s="91"/>
      <c r="AK16" s="91"/>
      <c r="AL16" s="91"/>
      <c r="AM16" s="91"/>
      <c r="AN16" s="91"/>
      <c r="AO16" s="91"/>
      <c r="AP16" s="91"/>
      <c r="AS16" s="91"/>
      <c r="AT16" s="92"/>
      <c r="AU16" s="91"/>
      <c r="AV16" s="91"/>
      <c r="AW16" s="91"/>
      <c r="AX16" s="91"/>
      <c r="AY16" s="91"/>
      <c r="AZ16" s="91"/>
      <c r="BA16" s="898"/>
    </row>
    <row r="17" spans="2:53">
      <c r="B17" s="101"/>
      <c r="C17" s="102"/>
      <c r="D17" s="883"/>
      <c r="E17" s="883"/>
      <c r="F17" s="880"/>
      <c r="G17" s="886"/>
      <c r="H17" s="886"/>
      <c r="I17" s="880"/>
      <c r="J17" s="886"/>
      <c r="K17" s="886"/>
      <c r="L17" s="883"/>
      <c r="M17" s="883"/>
      <c r="N17" s="886"/>
      <c r="O17" s="883"/>
      <c r="P17" s="886"/>
      <c r="Q17" s="886"/>
      <c r="R17" s="896"/>
      <c r="S17" s="883"/>
      <c r="T17" s="883"/>
      <c r="U17" s="886"/>
      <c r="V17" s="893"/>
      <c r="W17" s="890"/>
      <c r="X17" s="91"/>
      <c r="Y17" s="91"/>
      <c r="Z17" s="91"/>
      <c r="AA17" s="91"/>
      <c r="AB17" s="91"/>
      <c r="AC17" s="91"/>
      <c r="AD17" s="91"/>
      <c r="AE17" s="91"/>
      <c r="AF17" s="91"/>
      <c r="AG17" s="92"/>
      <c r="AH17" s="91"/>
      <c r="AI17" s="91"/>
      <c r="AJ17" s="91"/>
      <c r="AK17" s="91"/>
      <c r="AL17" s="91"/>
      <c r="AM17" s="91"/>
      <c r="AN17" s="91"/>
      <c r="AO17" s="91"/>
      <c r="AP17" s="91"/>
      <c r="AQ17" s="91"/>
      <c r="AR17" s="91"/>
      <c r="AS17" s="91"/>
      <c r="AT17" s="92"/>
      <c r="AU17" s="91"/>
      <c r="AV17" s="91"/>
      <c r="AW17" s="91"/>
      <c r="AX17" s="91"/>
      <c r="AY17" s="91"/>
      <c r="AZ17" s="91"/>
      <c r="BA17" s="898"/>
    </row>
    <row r="18" spans="2:53">
      <c r="B18" s="103" t="s">
        <v>193</v>
      </c>
      <c r="C18" s="104" t="s">
        <v>191</v>
      </c>
      <c r="D18" s="884"/>
      <c r="E18" s="884"/>
      <c r="F18" s="881"/>
      <c r="G18" s="887"/>
      <c r="H18" s="887"/>
      <c r="I18" s="881"/>
      <c r="J18" s="887"/>
      <c r="K18" s="887"/>
      <c r="L18" s="884"/>
      <c r="M18" s="884"/>
      <c r="N18" s="887"/>
      <c r="O18" s="884"/>
      <c r="P18" s="887"/>
      <c r="Q18" s="887"/>
      <c r="R18" s="897"/>
      <c r="S18" s="884"/>
      <c r="T18" s="884"/>
      <c r="U18" s="887"/>
      <c r="V18" s="894"/>
      <c r="W18" s="891"/>
      <c r="X18" s="91"/>
      <c r="Y18" s="91"/>
      <c r="Z18" s="91"/>
      <c r="AA18" s="91"/>
      <c r="AB18" s="91"/>
      <c r="AC18" s="91"/>
      <c r="AD18" s="91"/>
      <c r="AE18" s="91"/>
      <c r="AF18" s="91"/>
      <c r="AG18" s="92"/>
      <c r="AH18" s="91"/>
      <c r="AI18" s="91"/>
      <c r="AJ18" s="91"/>
      <c r="AK18" s="91"/>
      <c r="AL18" s="91"/>
      <c r="AM18" s="91"/>
      <c r="AN18" s="91"/>
      <c r="AO18" s="91"/>
      <c r="AP18" s="91"/>
      <c r="AQ18" s="91"/>
      <c r="AR18" s="91"/>
      <c r="AS18" s="91"/>
      <c r="AT18" s="92"/>
      <c r="AU18" s="91"/>
      <c r="AV18" s="91"/>
      <c r="AW18" s="91"/>
      <c r="AX18" s="91"/>
      <c r="AY18" s="91"/>
      <c r="AZ18" s="91"/>
      <c r="BA18" s="898"/>
    </row>
    <row r="19" spans="2:53">
      <c r="AE19" s="91"/>
      <c r="AF19" s="91"/>
      <c r="AG19" s="92"/>
      <c r="AH19" s="91"/>
      <c r="AI19" s="91"/>
      <c r="AJ19" s="91"/>
      <c r="AK19" s="91"/>
      <c r="AL19" s="91"/>
    </row>
    <row r="20" spans="2:53" s="88" customFormat="1" ht="16.2">
      <c r="B20" s="98" t="s">
        <v>237</v>
      </c>
      <c r="C20" s="98"/>
      <c r="D20" s="95"/>
      <c r="E20" s="306"/>
      <c r="F20" s="95"/>
      <c r="G20" s="95"/>
      <c r="H20" s="95"/>
      <c r="I20" s="95"/>
      <c r="J20" s="306"/>
      <c r="K20" s="306"/>
      <c r="L20" s="95"/>
      <c r="M20" s="306"/>
      <c r="N20" s="95"/>
      <c r="O20" s="95"/>
      <c r="P20" s="306"/>
      <c r="Q20" s="306"/>
      <c r="R20" s="306"/>
      <c r="S20" s="306"/>
      <c r="T20" s="306"/>
      <c r="U20" s="306"/>
      <c r="V20" s="306"/>
      <c r="W20" s="307" t="s">
        <v>458</v>
      </c>
      <c r="AE20" s="89"/>
      <c r="AF20" s="89"/>
      <c r="AG20" s="89"/>
      <c r="AH20" s="89"/>
      <c r="AI20" s="89"/>
      <c r="AJ20" s="89"/>
      <c r="AK20" s="89"/>
      <c r="AL20" s="89"/>
      <c r="AM20" s="90"/>
      <c r="AN20" s="90"/>
      <c r="AO20" s="90"/>
      <c r="AP20" s="90"/>
      <c r="AQ20" s="90"/>
      <c r="AR20" s="90"/>
      <c r="AS20" s="90"/>
      <c r="AT20" s="90"/>
      <c r="AU20" s="90"/>
      <c r="AV20" s="90"/>
      <c r="AW20" s="90"/>
      <c r="AX20" s="90"/>
      <c r="AY20" s="90"/>
      <c r="AZ20" s="90"/>
      <c r="BA20" s="90"/>
    </row>
    <row r="21" spans="2:53" ht="50.1" customHeight="1">
      <c r="B21" s="301" t="s">
        <v>205</v>
      </c>
      <c r="C21" s="205" t="s">
        <v>177</v>
      </c>
      <c r="D21" s="203" t="s">
        <v>202</v>
      </c>
      <c r="E21" s="302" t="s">
        <v>204</v>
      </c>
      <c r="F21" s="203"/>
      <c r="G21" s="203"/>
      <c r="H21" s="203" t="s">
        <v>232</v>
      </c>
      <c r="I21" s="203" t="s">
        <v>639</v>
      </c>
      <c r="J21" s="303"/>
      <c r="K21" s="302"/>
      <c r="L21" s="203"/>
      <c r="M21" s="302"/>
      <c r="N21" s="203"/>
      <c r="O21" s="203"/>
      <c r="P21" s="302"/>
      <c r="Q21" s="302"/>
      <c r="R21" s="302"/>
      <c r="S21" s="302"/>
      <c r="T21" s="302"/>
      <c r="U21" s="302"/>
      <c r="V21" s="303"/>
      <c r="W21" s="304" t="s">
        <v>644</v>
      </c>
      <c r="AG21" s="89"/>
      <c r="AH21" s="89"/>
      <c r="AI21" s="89"/>
      <c r="AJ21" s="89"/>
      <c r="AK21" s="89"/>
      <c r="AL21" s="89"/>
      <c r="AM21" s="89"/>
      <c r="AN21" s="89"/>
      <c r="AO21" s="89"/>
      <c r="AP21" s="89"/>
      <c r="AQ21" s="89"/>
      <c r="AR21" s="89"/>
      <c r="AS21" s="89"/>
      <c r="AT21" s="89"/>
      <c r="AU21" s="89"/>
      <c r="AV21" s="89"/>
      <c r="AW21" s="89"/>
      <c r="AX21" s="89"/>
      <c r="AY21" s="89"/>
      <c r="AZ21" s="89"/>
      <c r="BA21" s="89"/>
    </row>
    <row r="22" spans="2:53" ht="30" customHeight="1">
      <c r="B22" s="204" t="s">
        <v>206</v>
      </c>
      <c r="C22" s="205" t="s">
        <v>98</v>
      </c>
      <c r="D22" s="206" t="s">
        <v>202</v>
      </c>
      <c r="E22" s="206" t="s">
        <v>204</v>
      </c>
      <c r="F22" s="206"/>
      <c r="G22" s="206"/>
      <c r="H22" s="207" t="s">
        <v>231</v>
      </c>
      <c r="I22" s="206"/>
      <c r="J22" s="207"/>
      <c r="K22" s="206"/>
      <c r="L22" s="206"/>
      <c r="M22" s="206"/>
      <c r="N22" s="206"/>
      <c r="O22" s="206"/>
      <c r="P22" s="206"/>
      <c r="Q22" s="206"/>
      <c r="R22" s="206"/>
      <c r="S22" s="206"/>
      <c r="T22" s="206"/>
      <c r="U22" s="206"/>
      <c r="V22" s="207"/>
      <c r="W22" s="208" t="s">
        <v>645</v>
      </c>
      <c r="AG22" s="89"/>
      <c r="AH22" s="89"/>
      <c r="AI22" s="89"/>
      <c r="AJ22" s="89"/>
      <c r="AK22" s="89"/>
      <c r="AL22" s="89"/>
      <c r="AM22" s="89"/>
      <c r="AN22" s="89"/>
      <c r="AO22" s="89"/>
      <c r="AP22" s="89"/>
      <c r="AQ22" s="89"/>
      <c r="AR22" s="89"/>
      <c r="AS22" s="89"/>
      <c r="AT22" s="89"/>
      <c r="AU22" s="89"/>
      <c r="AV22" s="89"/>
      <c r="AW22" s="89"/>
      <c r="AX22" s="89"/>
      <c r="AY22" s="89"/>
      <c r="AZ22" s="888"/>
      <c r="BA22" s="888"/>
    </row>
    <row r="23" spans="2:53" ht="30" customHeight="1">
      <c r="B23" s="204" t="s">
        <v>207</v>
      </c>
      <c r="C23" s="205" t="s">
        <v>99</v>
      </c>
      <c r="D23" s="206" t="s">
        <v>202</v>
      </c>
      <c r="E23" s="206" t="s">
        <v>204</v>
      </c>
      <c r="F23" s="206"/>
      <c r="G23" s="799" t="s">
        <v>204</v>
      </c>
      <c r="H23" s="207"/>
      <c r="I23" s="206"/>
      <c r="J23" s="207"/>
      <c r="K23" s="206"/>
      <c r="L23" s="206"/>
      <c r="M23" s="206"/>
      <c r="N23" s="206"/>
      <c r="O23" s="206"/>
      <c r="P23" s="206"/>
      <c r="Q23" s="206"/>
      <c r="R23" s="206"/>
      <c r="S23" s="206"/>
      <c r="T23" s="206"/>
      <c r="U23" s="206"/>
      <c r="V23" s="207"/>
      <c r="W23" s="809" t="s">
        <v>1194</v>
      </c>
      <c r="AG23" s="89"/>
      <c r="AH23" s="89"/>
      <c r="AI23" s="89"/>
      <c r="AJ23" s="89"/>
      <c r="AK23" s="89"/>
      <c r="AL23" s="89"/>
      <c r="AM23" s="89"/>
      <c r="AN23" s="89"/>
      <c r="AO23" s="89"/>
      <c r="AP23" s="89"/>
      <c r="AQ23" s="89"/>
      <c r="AR23" s="89"/>
      <c r="AS23" s="89"/>
      <c r="AT23" s="89"/>
      <c r="AU23" s="89"/>
      <c r="AV23" s="89"/>
      <c r="AW23" s="89"/>
      <c r="AX23" s="89"/>
      <c r="AY23" s="89"/>
      <c r="AZ23" s="888"/>
      <c r="BA23" s="888"/>
    </row>
    <row r="24" spans="2:53" ht="30" customHeight="1">
      <c r="B24" s="216" t="s">
        <v>208</v>
      </c>
      <c r="C24" s="205" t="s">
        <v>183</v>
      </c>
      <c r="D24" s="206" t="s">
        <v>202</v>
      </c>
      <c r="E24" s="206" t="s">
        <v>202</v>
      </c>
      <c r="F24" s="206"/>
      <c r="G24" s="206"/>
      <c r="H24" s="207"/>
      <c r="I24" s="206"/>
      <c r="J24" s="207"/>
      <c r="K24" s="206"/>
      <c r="L24" s="206"/>
      <c r="M24" s="206"/>
      <c r="N24" s="206"/>
      <c r="O24" s="206"/>
      <c r="P24" s="206"/>
      <c r="Q24" s="206"/>
      <c r="R24" s="206"/>
      <c r="S24" s="206"/>
      <c r="T24" s="206"/>
      <c r="U24" s="206"/>
      <c r="V24" s="207"/>
      <c r="W24" s="208"/>
      <c r="AG24" s="89"/>
      <c r="AH24" s="89"/>
      <c r="AI24" s="89"/>
      <c r="AJ24" s="89"/>
      <c r="AK24" s="89"/>
      <c r="AL24" s="89"/>
      <c r="AM24" s="89"/>
      <c r="AN24" s="89"/>
      <c r="AO24" s="89"/>
      <c r="AP24" s="89"/>
      <c r="AQ24" s="888"/>
      <c r="AR24" s="888"/>
      <c r="AS24" s="888"/>
      <c r="AT24" s="888"/>
      <c r="AU24" s="89"/>
      <c r="AV24" s="89"/>
      <c r="AW24" s="89"/>
      <c r="AX24" s="888"/>
      <c r="AY24" s="888"/>
      <c r="AZ24" s="888"/>
      <c r="BA24" s="888"/>
    </row>
    <row r="25" spans="2:53" ht="30" customHeight="1">
      <c r="B25" s="204" t="s">
        <v>209</v>
      </c>
      <c r="C25" s="205" t="s">
        <v>448</v>
      </c>
      <c r="D25" s="206" t="s">
        <v>202</v>
      </c>
      <c r="E25" s="206" t="s">
        <v>202</v>
      </c>
      <c r="F25" s="206"/>
      <c r="G25" s="206"/>
      <c r="H25" s="207"/>
      <c r="I25" s="206"/>
      <c r="J25" s="207"/>
      <c r="K25" s="206"/>
      <c r="L25" s="206"/>
      <c r="M25" s="206"/>
      <c r="N25" s="206"/>
      <c r="O25" s="206"/>
      <c r="P25" s="206"/>
      <c r="Q25" s="206"/>
      <c r="R25" s="206"/>
      <c r="S25" s="206"/>
      <c r="T25" s="206"/>
      <c r="U25" s="206"/>
      <c r="V25" s="207"/>
      <c r="W25" s="208"/>
      <c r="AG25" s="89"/>
      <c r="AH25" s="89"/>
      <c r="AI25" s="89"/>
      <c r="AJ25" s="89"/>
      <c r="AK25" s="89"/>
      <c r="AL25" s="89"/>
      <c r="AM25" s="89"/>
      <c r="AN25" s="89"/>
      <c r="AO25" s="89"/>
      <c r="AP25" s="89"/>
      <c r="AQ25" s="89"/>
      <c r="AR25" s="89"/>
      <c r="AS25" s="89"/>
      <c r="AT25" s="89"/>
      <c r="AU25" s="89"/>
      <c r="AV25" s="89"/>
      <c r="AW25" s="89"/>
      <c r="AX25" s="89"/>
      <c r="AY25" s="89"/>
      <c r="AZ25" s="89"/>
      <c r="BA25" s="89"/>
    </row>
    <row r="26" spans="2:53" ht="30" customHeight="1">
      <c r="B26" s="204" t="s">
        <v>210</v>
      </c>
      <c r="C26" s="577" t="s">
        <v>827</v>
      </c>
      <c r="D26" s="206" t="s">
        <v>202</v>
      </c>
      <c r="E26" s="206" t="s">
        <v>202</v>
      </c>
      <c r="F26" s="206"/>
      <c r="G26" s="206"/>
      <c r="H26" s="207"/>
      <c r="I26" s="206"/>
      <c r="J26" s="207"/>
      <c r="K26" s="206"/>
      <c r="L26" s="206"/>
      <c r="M26" s="206"/>
      <c r="N26" s="206"/>
      <c r="O26" s="206"/>
      <c r="P26" s="206"/>
      <c r="Q26" s="206"/>
      <c r="R26" s="206"/>
      <c r="S26" s="206"/>
      <c r="T26" s="206"/>
      <c r="U26" s="206"/>
      <c r="V26" s="207"/>
      <c r="W26" s="208"/>
      <c r="AG26" s="89"/>
      <c r="AH26" s="89"/>
      <c r="AI26" s="89"/>
      <c r="AJ26" s="89"/>
      <c r="AK26" s="89"/>
      <c r="AL26" s="89"/>
      <c r="AM26" s="89"/>
      <c r="AN26" s="89"/>
      <c r="AO26" s="89"/>
      <c r="AP26" s="89"/>
      <c r="AQ26" s="89"/>
      <c r="AR26" s="89"/>
      <c r="AS26" s="89"/>
      <c r="AT26" s="89"/>
      <c r="AU26" s="89"/>
      <c r="AV26" s="89"/>
      <c r="AW26" s="89"/>
      <c r="AX26" s="89"/>
      <c r="AY26" s="89"/>
      <c r="AZ26" s="89"/>
      <c r="BA26" s="89"/>
    </row>
    <row r="27" spans="2:53" ht="30" customHeight="1">
      <c r="B27" s="204" t="s">
        <v>211</v>
      </c>
      <c r="C27" s="577" t="s">
        <v>828</v>
      </c>
      <c r="D27" s="206" t="s">
        <v>202</v>
      </c>
      <c r="E27" s="206" t="s">
        <v>202</v>
      </c>
      <c r="F27" s="206"/>
      <c r="G27" s="206"/>
      <c r="H27" s="207"/>
      <c r="I27" s="206"/>
      <c r="J27" s="207"/>
      <c r="K27" s="206"/>
      <c r="L27" s="206"/>
      <c r="M27" s="206"/>
      <c r="N27" s="206"/>
      <c r="O27" s="206"/>
      <c r="P27" s="206"/>
      <c r="Q27" s="206"/>
      <c r="R27" s="206"/>
      <c r="S27" s="206"/>
      <c r="T27" s="206"/>
      <c r="U27" s="206"/>
      <c r="V27" s="207"/>
      <c r="W27" s="208"/>
      <c r="AG27" s="89"/>
      <c r="AH27" s="89"/>
      <c r="AI27" s="89"/>
      <c r="AJ27" s="89"/>
      <c r="AK27" s="89"/>
      <c r="AL27" s="89"/>
      <c r="AM27" s="89"/>
      <c r="AN27" s="89"/>
      <c r="AO27" s="89"/>
      <c r="AP27" s="89"/>
      <c r="AQ27" s="89"/>
      <c r="AR27" s="89"/>
      <c r="AS27" s="89"/>
      <c r="AT27" s="89"/>
      <c r="AU27" s="89"/>
      <c r="AV27" s="89"/>
      <c r="AW27" s="89"/>
      <c r="AX27" s="89"/>
      <c r="AY27" s="89"/>
      <c r="AZ27" s="89"/>
      <c r="BA27" s="89"/>
    </row>
    <row r="28" spans="2:53" ht="30" customHeight="1">
      <c r="B28" s="204" t="s">
        <v>212</v>
      </c>
      <c r="C28" s="577" t="s">
        <v>459</v>
      </c>
      <c r="D28" s="206" t="s">
        <v>202</v>
      </c>
      <c r="E28" s="206" t="s">
        <v>202</v>
      </c>
      <c r="F28" s="206"/>
      <c r="G28" s="206"/>
      <c r="H28" s="207"/>
      <c r="I28" s="206"/>
      <c r="J28" s="207"/>
      <c r="K28" s="206"/>
      <c r="L28" s="206"/>
      <c r="M28" s="206"/>
      <c r="N28" s="206"/>
      <c r="O28" s="206"/>
      <c r="P28" s="206"/>
      <c r="Q28" s="206"/>
      <c r="R28" s="206"/>
      <c r="S28" s="206"/>
      <c r="T28" s="206"/>
      <c r="U28" s="206"/>
      <c r="V28" s="207"/>
      <c r="W28" s="208"/>
      <c r="AG28" s="89"/>
      <c r="AH28" s="89"/>
      <c r="AI28" s="89"/>
      <c r="AJ28" s="89"/>
      <c r="AK28" s="89"/>
      <c r="AL28" s="89"/>
      <c r="AM28" s="89"/>
      <c r="AN28" s="89"/>
      <c r="AO28" s="89"/>
      <c r="AP28" s="89"/>
      <c r="AQ28" s="89"/>
      <c r="AR28" s="89"/>
      <c r="AS28" s="89"/>
      <c r="AT28" s="89"/>
      <c r="AU28" s="89"/>
      <c r="AV28" s="89"/>
      <c r="AW28" s="89"/>
      <c r="AX28" s="89"/>
      <c r="AY28" s="89"/>
      <c r="AZ28" s="89"/>
      <c r="BA28" s="89"/>
    </row>
    <row r="29" spans="2:53" ht="30" customHeight="1">
      <c r="B29" s="204" t="s">
        <v>213</v>
      </c>
      <c r="C29" s="205" t="s">
        <v>178</v>
      </c>
      <c r="D29" s="206" t="s">
        <v>202</v>
      </c>
      <c r="E29" s="206" t="s">
        <v>202</v>
      </c>
      <c r="F29" s="206"/>
      <c r="G29" s="206"/>
      <c r="H29" s="207"/>
      <c r="I29" s="206"/>
      <c r="J29" s="207"/>
      <c r="K29" s="206"/>
      <c r="L29" s="206"/>
      <c r="M29" s="206"/>
      <c r="N29" s="206"/>
      <c r="O29" s="206"/>
      <c r="P29" s="206"/>
      <c r="Q29" s="206" t="s">
        <v>204</v>
      </c>
      <c r="R29" s="206"/>
      <c r="S29" s="206"/>
      <c r="T29" s="206"/>
      <c r="U29" s="206"/>
      <c r="V29" s="207"/>
      <c r="W29" s="208" t="s">
        <v>646</v>
      </c>
      <c r="AG29" s="89"/>
      <c r="AH29" s="89"/>
      <c r="AI29" s="89"/>
      <c r="AJ29" s="89"/>
      <c r="AK29" s="89"/>
      <c r="AL29" s="89"/>
      <c r="AM29" s="89"/>
      <c r="AN29" s="89"/>
      <c r="AO29" s="89"/>
      <c r="AP29" s="89"/>
      <c r="AQ29" s="89"/>
      <c r="AR29" s="89"/>
      <c r="AS29" s="89"/>
      <c r="AT29" s="89"/>
      <c r="AU29" s="89"/>
      <c r="AV29" s="89"/>
      <c r="AW29" s="89"/>
      <c r="AX29" s="89"/>
      <c r="AY29" s="89"/>
      <c r="AZ29" s="888"/>
      <c r="BA29" s="888"/>
    </row>
    <row r="30" spans="2:53" ht="30" customHeight="1">
      <c r="B30" s="204" t="s">
        <v>214</v>
      </c>
      <c r="C30" s="215" t="s">
        <v>449</v>
      </c>
      <c r="D30" s="206" t="s">
        <v>202</v>
      </c>
      <c r="E30" s="206" t="s">
        <v>202</v>
      </c>
      <c r="F30" s="206"/>
      <c r="G30" s="206"/>
      <c r="H30" s="207"/>
      <c r="I30" s="206"/>
      <c r="J30" s="207"/>
      <c r="K30" s="206"/>
      <c r="L30" s="206"/>
      <c r="M30" s="206"/>
      <c r="N30" s="206"/>
      <c r="O30" s="206"/>
      <c r="P30" s="206"/>
      <c r="Q30" s="206"/>
      <c r="R30" s="206" t="s">
        <v>204</v>
      </c>
      <c r="S30" s="206"/>
      <c r="T30" s="206"/>
      <c r="U30" s="206"/>
      <c r="V30" s="207"/>
      <c r="W30" s="208" t="s">
        <v>646</v>
      </c>
      <c r="AG30" s="89"/>
      <c r="AH30" s="89"/>
      <c r="AI30" s="89"/>
      <c r="AJ30" s="89"/>
      <c r="AK30" s="89"/>
      <c r="AL30" s="89"/>
      <c r="AM30" s="89"/>
      <c r="AN30" s="89"/>
      <c r="AO30" s="89"/>
      <c r="AP30" s="89"/>
      <c r="AQ30" s="89"/>
      <c r="AR30" s="89"/>
      <c r="AS30" s="89"/>
      <c r="AT30" s="89"/>
      <c r="AU30" s="89"/>
      <c r="AV30" s="89"/>
      <c r="AW30" s="89"/>
      <c r="AX30" s="89"/>
      <c r="AY30" s="89"/>
      <c r="AZ30" s="89"/>
      <c r="BA30" s="89"/>
    </row>
    <row r="31" spans="2:53" ht="30" customHeight="1">
      <c r="B31" s="204" t="s">
        <v>215</v>
      </c>
      <c r="C31" s="205" t="s">
        <v>179</v>
      </c>
      <c r="D31" s="206" t="s">
        <v>202</v>
      </c>
      <c r="E31" s="206" t="s">
        <v>202</v>
      </c>
      <c r="F31" s="206"/>
      <c r="G31" s="206"/>
      <c r="H31" s="207" t="s">
        <v>232</v>
      </c>
      <c r="I31" s="206"/>
      <c r="J31" s="207"/>
      <c r="K31" s="206"/>
      <c r="L31" s="206" t="s">
        <v>202</v>
      </c>
      <c r="M31" s="206"/>
      <c r="N31" s="206"/>
      <c r="O31" s="206"/>
      <c r="P31" s="206"/>
      <c r="Q31" s="206"/>
      <c r="R31" s="206"/>
      <c r="S31" s="206"/>
      <c r="T31" s="206"/>
      <c r="U31" s="206"/>
      <c r="V31" s="207"/>
      <c r="W31" s="812" t="s">
        <v>647</v>
      </c>
      <c r="AG31" s="89"/>
      <c r="AH31" s="89"/>
      <c r="AI31" s="89"/>
      <c r="AJ31" s="89"/>
      <c r="AK31" s="89"/>
      <c r="AL31" s="89"/>
      <c r="AM31" s="89"/>
      <c r="AN31" s="89"/>
      <c r="AO31" s="89"/>
      <c r="AP31" s="89"/>
      <c r="AQ31" s="89"/>
      <c r="AR31" s="89"/>
      <c r="AS31" s="89"/>
      <c r="AT31" s="89"/>
      <c r="AU31" s="89"/>
      <c r="AV31" s="89"/>
      <c r="AW31" s="89"/>
      <c r="AX31" s="89"/>
      <c r="AY31" s="89"/>
      <c r="AZ31" s="888"/>
      <c r="BA31" s="888"/>
    </row>
    <row r="32" spans="2:53" ht="30" customHeight="1">
      <c r="B32" s="204" t="s">
        <v>216</v>
      </c>
      <c r="C32" s="205" t="s">
        <v>180</v>
      </c>
      <c r="D32" s="206" t="s">
        <v>202</v>
      </c>
      <c r="E32" s="206" t="s">
        <v>202</v>
      </c>
      <c r="F32" s="206"/>
      <c r="G32" s="206"/>
      <c r="H32" s="207" t="s">
        <v>232</v>
      </c>
      <c r="I32" s="206"/>
      <c r="J32" s="207"/>
      <c r="K32" s="206"/>
      <c r="L32" s="206" t="s">
        <v>202</v>
      </c>
      <c r="M32" s="206"/>
      <c r="N32" s="206"/>
      <c r="O32" s="206"/>
      <c r="P32" s="206"/>
      <c r="Q32" s="206"/>
      <c r="R32" s="206"/>
      <c r="S32" s="206"/>
      <c r="T32" s="206"/>
      <c r="U32" s="206"/>
      <c r="V32" s="207"/>
      <c r="W32" s="812" t="s">
        <v>648</v>
      </c>
      <c r="AG32" s="89"/>
      <c r="AH32" s="89"/>
      <c r="AI32" s="89"/>
      <c r="AJ32" s="89"/>
      <c r="AK32" s="89"/>
      <c r="AL32" s="89"/>
      <c r="AM32" s="89"/>
      <c r="AN32" s="89"/>
      <c r="AO32" s="89"/>
      <c r="AP32" s="89"/>
      <c r="AQ32" s="89"/>
      <c r="AR32" s="89"/>
      <c r="AS32" s="89"/>
      <c r="AT32" s="89"/>
      <c r="AU32" s="89"/>
      <c r="AV32" s="89"/>
      <c r="AW32" s="89"/>
      <c r="AX32" s="89"/>
      <c r="AY32" s="89"/>
      <c r="AZ32" s="888"/>
      <c r="BA32" s="888"/>
    </row>
    <row r="33" spans="2:53" ht="65.099999999999994" customHeight="1">
      <c r="B33" s="204" t="s">
        <v>217</v>
      </c>
      <c r="C33" s="205" t="s">
        <v>181</v>
      </c>
      <c r="D33" s="206" t="s">
        <v>202</v>
      </c>
      <c r="E33" s="206" t="s">
        <v>202</v>
      </c>
      <c r="F33" s="206"/>
      <c r="G33" s="206"/>
      <c r="H33" s="207"/>
      <c r="I33" s="206"/>
      <c r="J33" s="207"/>
      <c r="K33" s="206"/>
      <c r="L33" s="206"/>
      <c r="M33" s="206"/>
      <c r="N33" s="206"/>
      <c r="O33" s="206"/>
      <c r="P33" s="206"/>
      <c r="Q33" s="206"/>
      <c r="R33" s="206"/>
      <c r="S33" s="206"/>
      <c r="T33" s="206"/>
      <c r="U33" s="206"/>
      <c r="V33" s="207"/>
      <c r="W33" s="812" t="s">
        <v>1481</v>
      </c>
      <c r="AG33" s="89"/>
      <c r="AH33" s="89"/>
      <c r="AI33" s="89"/>
      <c r="AJ33" s="89"/>
      <c r="AK33" s="89"/>
      <c r="AL33" s="89"/>
      <c r="AM33" s="89"/>
      <c r="AN33" s="89"/>
      <c r="AO33" s="89"/>
      <c r="AP33" s="89"/>
      <c r="AQ33" s="89"/>
      <c r="AR33" s="89"/>
      <c r="AS33" s="89"/>
      <c r="AT33" s="89"/>
      <c r="AU33" s="89"/>
      <c r="AV33" s="89"/>
      <c r="AW33" s="89"/>
      <c r="AX33" s="89"/>
      <c r="AY33" s="89"/>
      <c r="AZ33" s="888"/>
      <c r="BA33" s="888"/>
    </row>
    <row r="34" spans="2:53" ht="50.1" customHeight="1">
      <c r="B34" s="204" t="s">
        <v>218</v>
      </c>
      <c r="C34" s="215" t="s">
        <v>450</v>
      </c>
      <c r="D34" s="206" t="s">
        <v>202</v>
      </c>
      <c r="E34" s="206" t="s">
        <v>202</v>
      </c>
      <c r="F34" s="206"/>
      <c r="G34" s="799"/>
      <c r="H34" s="800"/>
      <c r="I34" s="799"/>
      <c r="J34" s="800"/>
      <c r="K34" s="799"/>
      <c r="L34" s="799"/>
      <c r="M34" s="799" t="s">
        <v>229</v>
      </c>
      <c r="N34" s="799"/>
      <c r="O34" s="799"/>
      <c r="P34" s="799"/>
      <c r="Q34" s="799"/>
      <c r="R34" s="799"/>
      <c r="S34" s="799"/>
      <c r="T34" s="799"/>
      <c r="U34" s="799"/>
      <c r="V34" s="800"/>
      <c r="W34" s="812" t="s">
        <v>1482</v>
      </c>
      <c r="AG34" s="89"/>
      <c r="AH34" s="89"/>
      <c r="AI34" s="89"/>
      <c r="AJ34" s="89"/>
      <c r="AK34" s="89"/>
      <c r="AL34" s="89"/>
      <c r="AM34" s="89"/>
      <c r="AN34" s="89"/>
      <c r="AO34" s="89"/>
      <c r="AP34" s="89"/>
      <c r="AQ34" s="89"/>
      <c r="AR34" s="89"/>
      <c r="AS34" s="89"/>
      <c r="AT34" s="89"/>
      <c r="AU34" s="89"/>
      <c r="AV34" s="89"/>
      <c r="AW34" s="89"/>
      <c r="AX34" s="89"/>
      <c r="AY34" s="89"/>
      <c r="AZ34" s="888"/>
      <c r="BA34" s="888"/>
    </row>
    <row r="35" spans="2:53" ht="30" customHeight="1">
      <c r="B35" s="204" t="s">
        <v>219</v>
      </c>
      <c r="C35" s="205" t="s">
        <v>182</v>
      </c>
      <c r="D35" s="206" t="s">
        <v>202</v>
      </c>
      <c r="E35" s="206" t="s">
        <v>202</v>
      </c>
      <c r="F35" s="206"/>
      <c r="G35" s="799" t="s">
        <v>204</v>
      </c>
      <c r="H35" s="800" t="s">
        <v>231</v>
      </c>
      <c r="I35" s="799"/>
      <c r="J35" s="800"/>
      <c r="K35" s="799"/>
      <c r="L35" s="799"/>
      <c r="M35" s="799"/>
      <c r="N35" s="799"/>
      <c r="O35" s="799"/>
      <c r="P35" s="799"/>
      <c r="Q35" s="799"/>
      <c r="R35" s="799"/>
      <c r="S35" s="799"/>
      <c r="T35" s="799"/>
      <c r="U35" s="799"/>
      <c r="V35" s="800"/>
      <c r="W35" s="809" t="s">
        <v>1196</v>
      </c>
      <c r="AG35" s="89"/>
      <c r="AH35" s="89"/>
      <c r="AI35" s="89"/>
      <c r="AJ35" s="89"/>
      <c r="AK35" s="89"/>
      <c r="AL35" s="89"/>
      <c r="AM35" s="89"/>
      <c r="AN35" s="89"/>
      <c r="AO35" s="89"/>
      <c r="AP35" s="89"/>
      <c r="AQ35" s="89"/>
      <c r="AR35" s="89"/>
      <c r="AS35" s="89"/>
      <c r="AT35" s="89"/>
      <c r="AU35" s="89"/>
      <c r="AV35" s="89"/>
      <c r="AW35" s="89"/>
      <c r="AX35" s="89"/>
      <c r="AY35" s="89"/>
      <c r="AZ35" s="888"/>
      <c r="BA35" s="888"/>
    </row>
    <row r="36" spans="2:53" ht="30" customHeight="1">
      <c r="B36" s="204" t="s">
        <v>220</v>
      </c>
      <c r="C36" s="205" t="s">
        <v>152</v>
      </c>
      <c r="D36" s="206" t="s">
        <v>202</v>
      </c>
      <c r="E36" s="206" t="s">
        <v>202</v>
      </c>
      <c r="F36" s="206"/>
      <c r="G36" s="799"/>
      <c r="H36" s="800"/>
      <c r="I36" s="799"/>
      <c r="J36" s="800"/>
      <c r="K36" s="799"/>
      <c r="L36" s="799"/>
      <c r="M36" s="799"/>
      <c r="N36" s="799"/>
      <c r="O36" s="799"/>
      <c r="P36" s="799"/>
      <c r="Q36" s="799"/>
      <c r="R36" s="799"/>
      <c r="S36" s="799"/>
      <c r="T36" s="799"/>
      <c r="U36" s="799"/>
      <c r="V36" s="800"/>
      <c r="W36" s="208"/>
      <c r="AG36" s="89"/>
      <c r="AH36" s="89"/>
      <c r="AI36" s="89"/>
      <c r="AJ36" s="89"/>
      <c r="AK36" s="89"/>
      <c r="AL36" s="89"/>
      <c r="AM36" s="89"/>
      <c r="AN36" s="89"/>
      <c r="AO36" s="89"/>
      <c r="AP36" s="89"/>
      <c r="AQ36" s="89"/>
      <c r="AR36" s="89"/>
      <c r="AS36" s="89"/>
      <c r="AT36" s="89"/>
      <c r="AU36" s="89"/>
      <c r="AV36" s="89"/>
      <c r="AW36" s="89"/>
      <c r="AX36" s="89"/>
      <c r="AY36" s="89"/>
      <c r="AZ36" s="888"/>
      <c r="BA36" s="888"/>
    </row>
    <row r="37" spans="2:53" ht="30" customHeight="1">
      <c r="B37" s="204" t="s">
        <v>221</v>
      </c>
      <c r="C37" s="577" t="s">
        <v>451</v>
      </c>
      <c r="D37" s="206" t="s">
        <v>202</v>
      </c>
      <c r="E37" s="206" t="s">
        <v>202</v>
      </c>
      <c r="F37" s="206"/>
      <c r="G37" s="799"/>
      <c r="H37" s="800" t="s">
        <v>231</v>
      </c>
      <c r="I37" s="799"/>
      <c r="J37" s="800"/>
      <c r="K37" s="799"/>
      <c r="L37" s="799"/>
      <c r="M37" s="799"/>
      <c r="N37" s="799"/>
      <c r="O37" s="799"/>
      <c r="P37" s="799"/>
      <c r="Q37" s="799"/>
      <c r="R37" s="799"/>
      <c r="S37" s="799"/>
      <c r="T37" s="799"/>
      <c r="U37" s="799"/>
      <c r="V37" s="800"/>
      <c r="W37" s="208" t="s">
        <v>444</v>
      </c>
      <c r="AG37" s="89"/>
      <c r="AH37" s="89"/>
      <c r="AI37" s="89"/>
      <c r="AJ37" s="89"/>
      <c r="AK37" s="89"/>
      <c r="AL37" s="89"/>
      <c r="AM37" s="89"/>
      <c r="AN37" s="89"/>
      <c r="AO37" s="89"/>
      <c r="AP37" s="89"/>
      <c r="AQ37" s="89"/>
      <c r="AR37" s="89"/>
      <c r="AS37" s="89"/>
      <c r="AT37" s="89"/>
      <c r="AU37" s="89"/>
      <c r="AV37" s="89"/>
      <c r="AW37" s="89"/>
      <c r="AX37" s="89"/>
      <c r="AY37" s="89"/>
      <c r="AZ37" s="888"/>
      <c r="BA37" s="888"/>
    </row>
    <row r="38" spans="2:53" ht="30" customHeight="1">
      <c r="B38" s="204" t="s">
        <v>222</v>
      </c>
      <c r="C38" s="205" t="s">
        <v>452</v>
      </c>
      <c r="D38" s="206" t="s">
        <v>202</v>
      </c>
      <c r="E38" s="206" t="s">
        <v>202</v>
      </c>
      <c r="F38" s="206"/>
      <c r="G38" s="799"/>
      <c r="H38" s="800"/>
      <c r="I38" s="799"/>
      <c r="J38" s="800"/>
      <c r="K38" s="799"/>
      <c r="L38" s="799"/>
      <c r="M38" s="799"/>
      <c r="N38" s="799"/>
      <c r="O38" s="799"/>
      <c r="P38" s="799"/>
      <c r="Q38" s="799"/>
      <c r="R38" s="799"/>
      <c r="S38" s="799"/>
      <c r="T38" s="799"/>
      <c r="U38" s="799"/>
      <c r="V38" s="800"/>
      <c r="W38" s="208"/>
      <c r="AG38" s="89"/>
      <c r="AH38" s="89"/>
      <c r="AI38" s="89"/>
      <c r="AJ38" s="89"/>
      <c r="AK38" s="89"/>
      <c r="AL38" s="89"/>
      <c r="AM38" s="89"/>
      <c r="AN38" s="89"/>
      <c r="AO38" s="89"/>
      <c r="AP38" s="89"/>
      <c r="AQ38" s="89"/>
      <c r="AR38" s="89"/>
      <c r="AS38" s="89"/>
      <c r="AT38" s="89"/>
      <c r="AU38" s="89"/>
      <c r="AV38" s="89"/>
      <c r="AW38" s="89"/>
      <c r="AX38" s="89"/>
      <c r="AY38" s="89"/>
      <c r="AZ38" s="89"/>
      <c r="BA38" s="89"/>
    </row>
    <row r="39" spans="2:53" ht="30" customHeight="1">
      <c r="B39" s="204" t="s">
        <v>223</v>
      </c>
      <c r="C39" s="205" t="s">
        <v>641</v>
      </c>
      <c r="D39" s="206" t="s">
        <v>202</v>
      </c>
      <c r="E39" s="206" t="s">
        <v>202</v>
      </c>
      <c r="F39" s="206"/>
      <c r="G39" s="799"/>
      <c r="H39" s="800"/>
      <c r="I39" s="799"/>
      <c r="J39" s="800"/>
      <c r="K39" s="799"/>
      <c r="L39" s="799"/>
      <c r="M39" s="799"/>
      <c r="N39" s="799"/>
      <c r="O39" s="799"/>
      <c r="P39" s="799"/>
      <c r="Q39" s="799"/>
      <c r="R39" s="799"/>
      <c r="S39" s="799"/>
      <c r="T39" s="799"/>
      <c r="U39" s="799"/>
      <c r="V39" s="800"/>
      <c r="W39" s="208"/>
      <c r="AG39" s="89"/>
      <c r="AH39" s="89"/>
      <c r="AI39" s="89"/>
      <c r="AJ39" s="89"/>
      <c r="AK39" s="89"/>
      <c r="AL39" s="89"/>
      <c r="AM39" s="89"/>
      <c r="AN39" s="89"/>
      <c r="AO39" s="89"/>
      <c r="AP39" s="89"/>
      <c r="AQ39" s="89"/>
      <c r="AR39" s="89"/>
      <c r="AS39" s="89"/>
      <c r="AT39" s="89"/>
      <c r="AU39" s="89"/>
      <c r="AV39" s="89"/>
      <c r="AW39" s="89"/>
      <c r="AX39" s="89"/>
      <c r="AY39" s="89"/>
      <c r="AZ39" s="888"/>
      <c r="BA39" s="888"/>
    </row>
    <row r="40" spans="2:53" ht="30" customHeight="1">
      <c r="B40" s="204" t="s">
        <v>224</v>
      </c>
      <c r="C40" s="205" t="s">
        <v>100</v>
      </c>
      <c r="D40" s="206" t="s">
        <v>202</v>
      </c>
      <c r="E40" s="206" t="s">
        <v>202</v>
      </c>
      <c r="F40" s="206"/>
      <c r="G40" s="799"/>
      <c r="H40" s="800" t="s">
        <v>231</v>
      </c>
      <c r="I40" s="799"/>
      <c r="J40" s="800"/>
      <c r="K40" s="799"/>
      <c r="L40" s="799"/>
      <c r="M40" s="799"/>
      <c r="N40" s="799"/>
      <c r="O40" s="799"/>
      <c r="P40" s="799"/>
      <c r="Q40" s="799"/>
      <c r="R40" s="799"/>
      <c r="S40" s="799"/>
      <c r="T40" s="799"/>
      <c r="U40" s="799"/>
      <c r="V40" s="800"/>
      <c r="W40" s="208" t="s">
        <v>1198</v>
      </c>
      <c r="AG40" s="89"/>
      <c r="AH40" s="89"/>
      <c r="AI40" s="89"/>
      <c r="AJ40" s="89"/>
      <c r="AK40" s="89"/>
      <c r="AL40" s="89"/>
      <c r="AM40" s="89"/>
      <c r="AN40" s="89"/>
      <c r="AO40" s="89"/>
      <c r="AP40" s="89"/>
      <c r="AQ40" s="888"/>
      <c r="AR40" s="888"/>
      <c r="AS40" s="888"/>
      <c r="AT40" s="888"/>
      <c r="AU40" s="89"/>
      <c r="AV40" s="89"/>
      <c r="AW40" s="89"/>
      <c r="AX40" s="888"/>
      <c r="AY40" s="888"/>
      <c r="AZ40" s="888"/>
      <c r="BA40" s="888"/>
    </row>
    <row r="41" spans="2:53" ht="30" customHeight="1">
      <c r="B41" s="204" t="s">
        <v>225</v>
      </c>
      <c r="C41" s="205" t="s">
        <v>101</v>
      </c>
      <c r="D41" s="206" t="s">
        <v>202</v>
      </c>
      <c r="E41" s="206" t="s">
        <v>202</v>
      </c>
      <c r="F41" s="206"/>
      <c r="G41" s="799"/>
      <c r="H41" s="800" t="s">
        <v>231</v>
      </c>
      <c r="I41" s="799"/>
      <c r="J41" s="800"/>
      <c r="K41" s="799"/>
      <c r="L41" s="799"/>
      <c r="M41" s="799"/>
      <c r="N41" s="799"/>
      <c r="O41" s="799"/>
      <c r="P41" s="799"/>
      <c r="Q41" s="799"/>
      <c r="R41" s="799"/>
      <c r="S41" s="799"/>
      <c r="T41" s="799"/>
      <c r="U41" s="799"/>
      <c r="V41" s="800"/>
      <c r="W41" s="208" t="s">
        <v>1199</v>
      </c>
      <c r="AG41" s="89"/>
      <c r="AH41" s="89"/>
      <c r="AI41" s="89"/>
      <c r="AJ41" s="89"/>
      <c r="AK41" s="89"/>
      <c r="AL41" s="89"/>
      <c r="AM41" s="89"/>
      <c r="AN41" s="89"/>
      <c r="AO41" s="89"/>
      <c r="AP41" s="89"/>
      <c r="AQ41" s="888"/>
      <c r="AR41" s="888"/>
      <c r="AS41" s="888"/>
      <c r="AT41" s="888"/>
      <c r="AU41" s="89"/>
      <c r="AV41" s="89"/>
      <c r="AW41" s="89"/>
      <c r="AX41" s="888"/>
      <c r="AY41" s="888"/>
      <c r="AZ41" s="888"/>
      <c r="BA41" s="888"/>
    </row>
    <row r="42" spans="2:53" ht="30" customHeight="1">
      <c r="B42" s="204" t="s">
        <v>226</v>
      </c>
      <c r="C42" s="205" t="s">
        <v>102</v>
      </c>
      <c r="D42" s="206" t="s">
        <v>202</v>
      </c>
      <c r="E42" s="206" t="s">
        <v>202</v>
      </c>
      <c r="F42" s="206"/>
      <c r="G42" s="799"/>
      <c r="H42" s="800"/>
      <c r="I42" s="799"/>
      <c r="J42" s="800"/>
      <c r="K42" s="799"/>
      <c r="L42" s="799"/>
      <c r="M42" s="799"/>
      <c r="N42" s="799"/>
      <c r="O42" s="799"/>
      <c r="P42" s="799"/>
      <c r="Q42" s="799"/>
      <c r="R42" s="799"/>
      <c r="S42" s="799"/>
      <c r="T42" s="799"/>
      <c r="U42" s="799"/>
      <c r="V42" s="800"/>
      <c r="W42" s="208" t="s">
        <v>649</v>
      </c>
      <c r="AG42" s="89"/>
      <c r="AH42" s="89"/>
      <c r="AI42" s="89"/>
      <c r="AJ42" s="89"/>
      <c r="AK42" s="89"/>
      <c r="AL42" s="89"/>
      <c r="AM42" s="89"/>
      <c r="AN42" s="89"/>
      <c r="AO42" s="89"/>
      <c r="AP42" s="89"/>
      <c r="AQ42" s="888"/>
      <c r="AR42" s="888"/>
      <c r="AS42" s="888"/>
      <c r="AT42" s="888"/>
      <c r="AU42" s="89"/>
      <c r="AV42" s="89"/>
      <c r="AW42" s="89"/>
      <c r="AX42" s="888"/>
      <c r="AY42" s="888"/>
      <c r="AZ42" s="888"/>
      <c r="BA42" s="888"/>
    </row>
    <row r="43" spans="2:53" ht="30" customHeight="1">
      <c r="B43" s="204" t="s">
        <v>227</v>
      </c>
      <c r="C43" s="205" t="s">
        <v>453</v>
      </c>
      <c r="D43" s="206" t="s">
        <v>202</v>
      </c>
      <c r="E43" s="206" t="s">
        <v>202</v>
      </c>
      <c r="F43" s="206"/>
      <c r="G43" s="799"/>
      <c r="H43" s="800" t="s">
        <v>231</v>
      </c>
      <c r="I43" s="799"/>
      <c r="J43" s="800"/>
      <c r="K43" s="799"/>
      <c r="L43" s="799"/>
      <c r="M43" s="799"/>
      <c r="N43" s="799"/>
      <c r="O43" s="799"/>
      <c r="P43" s="799"/>
      <c r="Q43" s="799"/>
      <c r="R43" s="799"/>
      <c r="S43" s="799" t="s">
        <v>202</v>
      </c>
      <c r="T43" s="799"/>
      <c r="U43" s="799"/>
      <c r="V43" s="800"/>
      <c r="W43" s="208" t="s">
        <v>650</v>
      </c>
      <c r="AG43" s="89"/>
      <c r="AH43" s="89"/>
      <c r="AI43" s="89"/>
      <c r="AJ43" s="89"/>
      <c r="AK43" s="89"/>
      <c r="AL43" s="89"/>
      <c r="AM43" s="89"/>
      <c r="AN43" s="89"/>
      <c r="AO43" s="89"/>
      <c r="AP43" s="89"/>
      <c r="AQ43" s="888"/>
      <c r="AR43" s="888"/>
      <c r="AS43" s="888"/>
      <c r="AT43" s="888"/>
      <c r="AU43" s="89"/>
      <c r="AV43" s="89"/>
      <c r="AW43" s="89"/>
      <c r="AX43" s="888"/>
      <c r="AY43" s="888"/>
      <c r="AZ43" s="888"/>
      <c r="BA43" s="888"/>
    </row>
    <row r="44" spans="2:53" ht="30" customHeight="1">
      <c r="B44" s="204" t="s">
        <v>228</v>
      </c>
      <c r="C44" s="205" t="s">
        <v>184</v>
      </c>
      <c r="D44" s="206" t="s">
        <v>202</v>
      </c>
      <c r="E44" s="206" t="s">
        <v>202</v>
      </c>
      <c r="F44" s="206"/>
      <c r="G44" s="799"/>
      <c r="H44" s="800"/>
      <c r="I44" s="799"/>
      <c r="J44" s="800"/>
      <c r="K44" s="799"/>
      <c r="L44" s="799"/>
      <c r="M44" s="799"/>
      <c r="N44" s="799"/>
      <c r="O44" s="799"/>
      <c r="P44" s="799"/>
      <c r="Q44" s="799"/>
      <c r="R44" s="799"/>
      <c r="S44" s="799"/>
      <c r="T44" s="799"/>
      <c r="U44" s="799"/>
      <c r="V44" s="800"/>
      <c r="W44" s="208" t="s">
        <v>651</v>
      </c>
      <c r="AG44" s="89"/>
      <c r="AH44" s="89"/>
      <c r="AI44" s="89"/>
      <c r="AJ44" s="89"/>
      <c r="AK44" s="89"/>
      <c r="AL44" s="89"/>
      <c r="AM44" s="89"/>
      <c r="AN44" s="89"/>
      <c r="AO44" s="89"/>
      <c r="AP44" s="89"/>
      <c r="AQ44" s="888"/>
      <c r="AR44" s="888"/>
      <c r="AS44" s="888"/>
      <c r="AT44" s="888"/>
      <c r="AU44" s="89"/>
      <c r="AV44" s="89"/>
      <c r="AW44" s="89"/>
      <c r="AX44" s="888"/>
      <c r="AY44" s="888"/>
      <c r="AZ44" s="888"/>
      <c r="BA44" s="888"/>
    </row>
    <row r="45" spans="2:53" ht="30" customHeight="1">
      <c r="B45" s="204" t="s">
        <v>625</v>
      </c>
      <c r="C45" s="577" t="s">
        <v>185</v>
      </c>
      <c r="D45" s="799" t="s">
        <v>202</v>
      </c>
      <c r="E45" s="799" t="s">
        <v>202</v>
      </c>
      <c r="F45" s="206"/>
      <c r="G45" s="799"/>
      <c r="H45" s="800"/>
      <c r="I45" s="799"/>
      <c r="J45" s="800"/>
      <c r="K45" s="799"/>
      <c r="L45" s="799"/>
      <c r="M45" s="799"/>
      <c r="N45" s="799"/>
      <c r="O45" s="799"/>
      <c r="P45" s="799"/>
      <c r="Q45" s="799"/>
      <c r="R45" s="799"/>
      <c r="S45" s="799"/>
      <c r="T45" s="799" t="s">
        <v>229</v>
      </c>
      <c r="U45" s="799"/>
      <c r="V45" s="800"/>
      <c r="W45" s="208" t="s">
        <v>230</v>
      </c>
      <c r="AG45" s="89"/>
      <c r="AH45" s="89"/>
      <c r="AI45" s="89"/>
      <c r="AJ45" s="89"/>
      <c r="AK45" s="89"/>
      <c r="AL45" s="89"/>
      <c r="AM45" s="89"/>
      <c r="AN45" s="89"/>
      <c r="AO45" s="89"/>
      <c r="AP45" s="89"/>
      <c r="AQ45" s="888"/>
      <c r="AR45" s="888"/>
      <c r="AS45" s="888"/>
      <c r="AT45" s="888"/>
      <c r="AU45" s="89"/>
      <c r="AV45" s="89"/>
      <c r="AW45" s="89"/>
      <c r="AX45" s="888"/>
      <c r="AY45" s="888"/>
      <c r="AZ45" s="888"/>
      <c r="BA45" s="888"/>
    </row>
    <row r="46" spans="2:53" ht="30" customHeight="1">
      <c r="B46" s="204" t="s">
        <v>626</v>
      </c>
      <c r="C46" s="577" t="s">
        <v>186</v>
      </c>
      <c r="D46" s="799" t="s">
        <v>202</v>
      </c>
      <c r="E46" s="799" t="s">
        <v>202</v>
      </c>
      <c r="F46" s="206"/>
      <c r="G46" s="799"/>
      <c r="H46" s="800" t="s">
        <v>231</v>
      </c>
      <c r="I46" s="799"/>
      <c r="J46" s="800"/>
      <c r="K46" s="799"/>
      <c r="L46" s="799"/>
      <c r="M46" s="799"/>
      <c r="N46" s="799"/>
      <c r="O46" s="799" t="s">
        <v>202</v>
      </c>
      <c r="P46" s="799"/>
      <c r="Q46" s="799"/>
      <c r="R46" s="799"/>
      <c r="S46" s="799"/>
      <c r="T46" s="799"/>
      <c r="U46" s="799"/>
      <c r="V46" s="800"/>
      <c r="W46" s="208" t="s">
        <v>445</v>
      </c>
      <c r="AG46" s="89"/>
      <c r="AH46" s="89"/>
      <c r="AI46" s="89"/>
      <c r="AJ46" s="89"/>
      <c r="AK46" s="89"/>
      <c r="AL46" s="89"/>
      <c r="AM46" s="89"/>
      <c r="AN46" s="89"/>
      <c r="AO46" s="89"/>
      <c r="AP46" s="89"/>
      <c r="AQ46" s="888"/>
      <c r="AR46" s="888"/>
      <c r="AS46" s="888"/>
      <c r="AT46" s="888"/>
      <c r="AU46" s="89"/>
      <c r="AV46" s="89"/>
      <c r="AW46" s="89"/>
      <c r="AX46" s="888"/>
      <c r="AY46" s="888"/>
      <c r="AZ46" s="888"/>
      <c r="BA46" s="888"/>
    </row>
    <row r="47" spans="2:53" ht="30" customHeight="1">
      <c r="B47" s="204" t="s">
        <v>627</v>
      </c>
      <c r="C47" s="577" t="s">
        <v>187</v>
      </c>
      <c r="D47" s="799" t="s">
        <v>202</v>
      </c>
      <c r="E47" s="799" t="s">
        <v>202</v>
      </c>
      <c r="F47" s="206"/>
      <c r="G47" s="799" t="s">
        <v>204</v>
      </c>
      <c r="H47" s="800"/>
      <c r="I47" s="799"/>
      <c r="J47" s="800"/>
      <c r="K47" s="799"/>
      <c r="L47" s="799"/>
      <c r="M47" s="799"/>
      <c r="N47" s="799"/>
      <c r="O47" s="799"/>
      <c r="P47" s="799"/>
      <c r="Q47" s="799"/>
      <c r="R47" s="799"/>
      <c r="S47" s="799"/>
      <c r="T47" s="799"/>
      <c r="U47" s="799"/>
      <c r="V47" s="800"/>
      <c r="W47" s="810" t="s">
        <v>1195</v>
      </c>
      <c r="AG47" s="89"/>
      <c r="AH47" s="89"/>
      <c r="AI47" s="89"/>
      <c r="AJ47" s="89"/>
      <c r="AK47" s="89"/>
      <c r="AL47" s="89"/>
      <c r="AM47" s="89"/>
      <c r="AN47" s="89"/>
      <c r="AO47" s="89"/>
      <c r="AP47" s="89"/>
      <c r="AQ47" s="888"/>
      <c r="AR47" s="888"/>
      <c r="AS47" s="888"/>
      <c r="AT47" s="888"/>
      <c r="AU47" s="89"/>
      <c r="AV47" s="89"/>
      <c r="AW47" s="89"/>
      <c r="AX47" s="888"/>
      <c r="AY47" s="888"/>
      <c r="AZ47" s="888"/>
      <c r="BA47" s="888"/>
    </row>
    <row r="48" spans="2:53" ht="30" customHeight="1">
      <c r="B48" s="204" t="s">
        <v>628</v>
      </c>
      <c r="C48" s="577" t="s">
        <v>169</v>
      </c>
      <c r="D48" s="799" t="s">
        <v>202</v>
      </c>
      <c r="E48" s="799" t="s">
        <v>202</v>
      </c>
      <c r="F48" s="206"/>
      <c r="G48" s="799"/>
      <c r="H48" s="800"/>
      <c r="I48" s="799"/>
      <c r="J48" s="800" t="s">
        <v>204</v>
      </c>
      <c r="K48" s="799"/>
      <c r="L48" s="799"/>
      <c r="M48" s="799"/>
      <c r="N48" s="799"/>
      <c r="O48" s="799"/>
      <c r="P48" s="799"/>
      <c r="Q48" s="799"/>
      <c r="R48" s="799"/>
      <c r="S48" s="799"/>
      <c r="T48" s="799"/>
      <c r="U48" s="799"/>
      <c r="V48" s="800"/>
      <c r="W48" s="810" t="s">
        <v>634</v>
      </c>
      <c r="AG48" s="89"/>
      <c r="AH48" s="89"/>
      <c r="AI48" s="89"/>
      <c r="AJ48" s="89"/>
      <c r="AK48" s="89"/>
      <c r="AL48" s="89"/>
      <c r="AM48" s="89"/>
      <c r="AN48" s="89"/>
      <c r="AO48" s="89"/>
      <c r="AP48" s="89"/>
      <c r="AQ48" s="888"/>
      <c r="AR48" s="888"/>
      <c r="AS48" s="888"/>
      <c r="AT48" s="888"/>
      <c r="AU48" s="89"/>
      <c r="AV48" s="89"/>
      <c r="AW48" s="89"/>
      <c r="AX48" s="888"/>
      <c r="AY48" s="888"/>
      <c r="AZ48" s="888"/>
      <c r="BA48" s="888"/>
    </row>
    <row r="49" spans="2:53" ht="30" customHeight="1">
      <c r="B49" s="204" t="s">
        <v>629</v>
      </c>
      <c r="C49" s="577" t="s">
        <v>829</v>
      </c>
      <c r="D49" s="799" t="s">
        <v>202</v>
      </c>
      <c r="E49" s="799" t="s">
        <v>202</v>
      </c>
      <c r="F49" s="578"/>
      <c r="G49" s="799"/>
      <c r="H49" s="800"/>
      <c r="I49" s="799"/>
      <c r="J49" s="800"/>
      <c r="K49" s="799"/>
      <c r="L49" s="799"/>
      <c r="M49" s="799"/>
      <c r="N49" s="799"/>
      <c r="O49" s="799"/>
      <c r="P49" s="799"/>
      <c r="Q49" s="799"/>
      <c r="R49" s="799"/>
      <c r="S49" s="799"/>
      <c r="T49" s="799"/>
      <c r="U49" s="799" t="s">
        <v>204</v>
      </c>
      <c r="V49" s="800"/>
      <c r="W49" s="810" t="s">
        <v>1173</v>
      </c>
      <c r="AG49" s="89"/>
      <c r="AH49" s="89"/>
      <c r="AI49" s="89"/>
      <c r="AJ49" s="89"/>
      <c r="AK49" s="89"/>
      <c r="AL49" s="89"/>
      <c r="AM49" s="89"/>
      <c r="AN49" s="89"/>
      <c r="AO49" s="89"/>
      <c r="AP49" s="89"/>
      <c r="AQ49" s="89"/>
      <c r="AR49" s="89"/>
      <c r="AS49" s="89"/>
      <c r="AT49" s="89"/>
      <c r="AU49" s="89"/>
      <c r="AV49" s="89"/>
      <c r="AW49" s="89"/>
      <c r="AX49" s="89"/>
      <c r="AY49" s="89"/>
      <c r="AZ49" s="89"/>
      <c r="BA49" s="89"/>
    </row>
    <row r="50" spans="2:53" ht="30" customHeight="1">
      <c r="B50" s="204" t="s">
        <v>630</v>
      </c>
      <c r="C50" s="577" t="s">
        <v>188</v>
      </c>
      <c r="D50" s="799" t="s">
        <v>202</v>
      </c>
      <c r="E50" s="799" t="s">
        <v>202</v>
      </c>
      <c r="F50" s="206"/>
      <c r="G50" s="799"/>
      <c r="H50" s="800"/>
      <c r="I50" s="799"/>
      <c r="J50" s="800"/>
      <c r="K50" s="799"/>
      <c r="L50" s="799"/>
      <c r="M50" s="799"/>
      <c r="N50" s="799"/>
      <c r="O50" s="799"/>
      <c r="P50" s="799"/>
      <c r="Q50" s="799"/>
      <c r="R50" s="799"/>
      <c r="S50" s="799"/>
      <c r="T50" s="799"/>
      <c r="U50" s="799"/>
      <c r="V50" s="800" t="s">
        <v>229</v>
      </c>
      <c r="W50" s="810"/>
      <c r="AG50" s="89"/>
      <c r="AH50" s="89"/>
      <c r="AI50" s="89"/>
      <c r="AJ50" s="89"/>
      <c r="AK50" s="89"/>
      <c r="AL50" s="89"/>
      <c r="AM50" s="89"/>
      <c r="AN50" s="89"/>
      <c r="AO50" s="89"/>
      <c r="AP50" s="89"/>
      <c r="AQ50" s="888"/>
      <c r="AR50" s="888"/>
      <c r="AS50" s="888"/>
      <c r="AT50" s="888"/>
      <c r="AU50" s="89"/>
      <c r="AV50" s="89"/>
      <c r="AW50" s="89"/>
      <c r="AX50" s="888"/>
      <c r="AY50" s="888"/>
      <c r="AZ50" s="888"/>
      <c r="BA50" s="888"/>
    </row>
    <row r="51" spans="2:53" ht="30" customHeight="1">
      <c r="B51" s="204" t="s">
        <v>631</v>
      </c>
      <c r="C51" s="806" t="s">
        <v>454</v>
      </c>
      <c r="D51" s="799" t="s">
        <v>202</v>
      </c>
      <c r="E51" s="799" t="s">
        <v>202</v>
      </c>
      <c r="F51" s="218"/>
      <c r="G51" s="801"/>
      <c r="H51" s="802"/>
      <c r="I51" s="801"/>
      <c r="J51" s="802"/>
      <c r="K51" s="801"/>
      <c r="L51" s="801"/>
      <c r="M51" s="801"/>
      <c r="N51" s="801"/>
      <c r="O51" s="801"/>
      <c r="P51" s="801"/>
      <c r="Q51" s="801"/>
      <c r="R51" s="801"/>
      <c r="S51" s="801"/>
      <c r="T51" s="801"/>
      <c r="U51" s="801"/>
      <c r="V51" s="802"/>
      <c r="W51" s="219"/>
      <c r="AG51" s="89"/>
      <c r="AH51" s="89"/>
      <c r="AI51" s="89"/>
      <c r="AJ51" s="89"/>
      <c r="AK51" s="89"/>
      <c r="AL51" s="89"/>
      <c r="AM51" s="89"/>
      <c r="AN51" s="89"/>
      <c r="AO51" s="89"/>
      <c r="AP51" s="89"/>
      <c r="AQ51" s="89"/>
      <c r="AR51" s="89"/>
      <c r="AS51" s="89"/>
      <c r="AT51" s="89"/>
      <c r="AU51" s="89"/>
      <c r="AV51" s="89"/>
      <c r="AW51" s="89"/>
      <c r="AX51" s="89"/>
      <c r="AY51" s="89"/>
      <c r="AZ51" s="89"/>
      <c r="BA51" s="89"/>
    </row>
    <row r="52" spans="2:53" ht="30" customHeight="1">
      <c r="B52" s="204" t="s">
        <v>632</v>
      </c>
      <c r="C52" s="217" t="s">
        <v>455</v>
      </c>
      <c r="D52" s="206" t="s">
        <v>202</v>
      </c>
      <c r="E52" s="206" t="s">
        <v>202</v>
      </c>
      <c r="F52" s="218"/>
      <c r="G52" s="801"/>
      <c r="H52" s="802"/>
      <c r="I52" s="801"/>
      <c r="J52" s="802"/>
      <c r="K52" s="801"/>
      <c r="L52" s="801"/>
      <c r="M52" s="801"/>
      <c r="N52" s="801"/>
      <c r="O52" s="801"/>
      <c r="P52" s="801"/>
      <c r="Q52" s="801"/>
      <c r="R52" s="801"/>
      <c r="S52" s="801"/>
      <c r="T52" s="801"/>
      <c r="U52" s="801"/>
      <c r="V52" s="802"/>
      <c r="W52" s="219"/>
      <c r="AG52" s="89"/>
      <c r="AH52" s="89"/>
      <c r="AI52" s="89"/>
      <c r="AJ52" s="89"/>
      <c r="AK52" s="89"/>
      <c r="AL52" s="89"/>
      <c r="AM52" s="89"/>
      <c r="AN52" s="89"/>
      <c r="AO52" s="89"/>
      <c r="AP52" s="89"/>
      <c r="AQ52" s="89"/>
      <c r="AR52" s="89"/>
      <c r="AS52" s="89"/>
      <c r="AT52" s="89"/>
      <c r="AU52" s="89"/>
      <c r="AV52" s="89"/>
      <c r="AW52" s="89"/>
      <c r="AX52" s="89"/>
      <c r="AY52" s="89"/>
      <c r="AZ52" s="89"/>
      <c r="BA52" s="89"/>
    </row>
    <row r="53" spans="2:53" ht="30" customHeight="1">
      <c r="B53" s="204" t="s">
        <v>633</v>
      </c>
      <c r="C53" s="217" t="s">
        <v>456</v>
      </c>
      <c r="D53" s="206" t="s">
        <v>202</v>
      </c>
      <c r="E53" s="206" t="s">
        <v>202</v>
      </c>
      <c r="F53" s="218"/>
      <c r="G53" s="801"/>
      <c r="H53" s="802"/>
      <c r="I53" s="801"/>
      <c r="J53" s="802"/>
      <c r="K53" s="801"/>
      <c r="L53" s="801"/>
      <c r="M53" s="801"/>
      <c r="N53" s="801"/>
      <c r="O53" s="801"/>
      <c r="P53" s="801"/>
      <c r="Q53" s="801"/>
      <c r="R53" s="801"/>
      <c r="S53" s="801"/>
      <c r="T53" s="801"/>
      <c r="U53" s="801"/>
      <c r="V53" s="802"/>
      <c r="W53" s="219"/>
      <c r="AG53" s="89"/>
      <c r="AH53" s="89"/>
      <c r="AI53" s="89"/>
      <c r="AJ53" s="89"/>
      <c r="AK53" s="89"/>
      <c r="AL53" s="89"/>
      <c r="AM53" s="89"/>
      <c r="AN53" s="89"/>
      <c r="AO53" s="89"/>
      <c r="AP53" s="89"/>
      <c r="AQ53" s="89"/>
      <c r="AR53" s="89"/>
      <c r="AS53" s="89"/>
      <c r="AT53" s="89"/>
      <c r="AU53" s="89"/>
      <c r="AV53" s="89"/>
      <c r="AW53" s="89"/>
      <c r="AX53" s="89"/>
      <c r="AY53" s="89"/>
      <c r="AZ53" s="89"/>
      <c r="BA53" s="89"/>
    </row>
    <row r="54" spans="2:53" ht="30" customHeight="1">
      <c r="B54" s="204" t="s">
        <v>833</v>
      </c>
      <c r="C54" s="806" t="s">
        <v>457</v>
      </c>
      <c r="D54" s="799" t="s">
        <v>202</v>
      </c>
      <c r="E54" s="799" t="s">
        <v>202</v>
      </c>
      <c r="F54" s="801"/>
      <c r="G54" s="801"/>
      <c r="H54" s="802"/>
      <c r="I54" s="801"/>
      <c r="J54" s="802"/>
      <c r="K54" s="801"/>
      <c r="L54" s="801"/>
      <c r="M54" s="801"/>
      <c r="N54" s="801"/>
      <c r="O54" s="801"/>
      <c r="P54" s="801"/>
      <c r="Q54" s="801"/>
      <c r="R54" s="801"/>
      <c r="S54" s="801"/>
      <c r="T54" s="801"/>
      <c r="U54" s="801"/>
      <c r="V54" s="802"/>
      <c r="W54" s="811" t="s">
        <v>1055</v>
      </c>
      <c r="AG54" s="89"/>
      <c r="AH54" s="89"/>
      <c r="AI54" s="89"/>
      <c r="AJ54" s="89"/>
      <c r="AK54" s="89"/>
      <c r="AL54" s="89"/>
      <c r="AM54" s="89"/>
      <c r="AN54" s="89"/>
      <c r="AO54" s="89"/>
      <c r="AP54" s="89"/>
      <c r="AQ54" s="89"/>
      <c r="AR54" s="89"/>
      <c r="AS54" s="89"/>
      <c r="AT54" s="89"/>
      <c r="AU54" s="89"/>
      <c r="AV54" s="89"/>
      <c r="AW54" s="89"/>
      <c r="AX54" s="89"/>
      <c r="AY54" s="89"/>
      <c r="AZ54" s="89"/>
      <c r="BA54" s="89"/>
    </row>
    <row r="55" spans="2:53" ht="30" customHeight="1">
      <c r="B55" s="204" t="s">
        <v>834</v>
      </c>
      <c r="C55" s="807" t="s">
        <v>830</v>
      </c>
      <c r="D55" s="799" t="s">
        <v>202</v>
      </c>
      <c r="E55" s="799" t="s">
        <v>202</v>
      </c>
      <c r="F55" s="801"/>
      <c r="G55" s="801"/>
      <c r="H55" s="802"/>
      <c r="I55" s="801"/>
      <c r="J55" s="802"/>
      <c r="K55" s="801"/>
      <c r="L55" s="801"/>
      <c r="M55" s="801"/>
      <c r="N55" s="801"/>
      <c r="O55" s="801"/>
      <c r="P55" s="801" t="s">
        <v>204</v>
      </c>
      <c r="Q55" s="801"/>
      <c r="R55" s="801"/>
      <c r="S55" s="801"/>
      <c r="T55" s="801"/>
      <c r="U55" s="801"/>
      <c r="V55" s="802"/>
      <c r="W55" s="811" t="s">
        <v>1483</v>
      </c>
      <c r="AG55" s="89"/>
      <c r="AH55" s="89"/>
      <c r="AI55" s="89"/>
      <c r="AJ55" s="89"/>
      <c r="AK55" s="89"/>
      <c r="AL55" s="89"/>
      <c r="AM55" s="89"/>
      <c r="AN55" s="89"/>
      <c r="AO55" s="89"/>
      <c r="AP55" s="89"/>
      <c r="AQ55" s="89"/>
      <c r="AR55" s="89"/>
      <c r="AS55" s="89"/>
      <c r="AT55" s="89"/>
      <c r="AU55" s="89"/>
      <c r="AV55" s="89"/>
      <c r="AW55" s="89"/>
      <c r="AX55" s="89"/>
      <c r="AY55" s="89"/>
      <c r="AZ55" s="89"/>
      <c r="BA55" s="89"/>
    </row>
    <row r="56" spans="2:53" ht="30" customHeight="1">
      <c r="B56" s="204" t="s">
        <v>835</v>
      </c>
      <c r="C56" s="807" t="s">
        <v>831</v>
      </c>
      <c r="D56" s="799" t="s">
        <v>202</v>
      </c>
      <c r="E56" s="799" t="s">
        <v>202</v>
      </c>
      <c r="F56" s="801"/>
      <c r="G56" s="801"/>
      <c r="H56" s="802"/>
      <c r="I56" s="801"/>
      <c r="J56" s="802"/>
      <c r="K56" s="801"/>
      <c r="L56" s="801"/>
      <c r="M56" s="801"/>
      <c r="N56" s="801"/>
      <c r="O56" s="801"/>
      <c r="P56" s="801" t="s">
        <v>204</v>
      </c>
      <c r="Q56" s="801"/>
      <c r="R56" s="801"/>
      <c r="S56" s="801"/>
      <c r="T56" s="801"/>
      <c r="U56" s="801"/>
      <c r="V56" s="802"/>
      <c r="W56" s="810"/>
      <c r="AG56" s="89"/>
      <c r="AH56" s="89"/>
      <c r="AI56" s="89"/>
      <c r="AJ56" s="89"/>
      <c r="AK56" s="89"/>
      <c r="AL56" s="89"/>
      <c r="AM56" s="89"/>
      <c r="AN56" s="89"/>
      <c r="AO56" s="89"/>
      <c r="AP56" s="89"/>
      <c r="AQ56" s="89"/>
      <c r="AR56" s="89"/>
      <c r="AS56" s="89"/>
      <c r="AT56" s="89"/>
      <c r="AU56" s="89"/>
      <c r="AV56" s="89"/>
      <c r="AW56" s="89"/>
      <c r="AX56" s="89"/>
      <c r="AY56" s="89"/>
      <c r="AZ56" s="89"/>
      <c r="BA56" s="89"/>
    </row>
    <row r="57" spans="2:53" ht="109.95" customHeight="1">
      <c r="B57" s="873" t="s">
        <v>836</v>
      </c>
      <c r="C57" s="876" t="s">
        <v>832</v>
      </c>
      <c r="D57" s="870" t="s">
        <v>202</v>
      </c>
      <c r="E57" s="870" t="s">
        <v>202</v>
      </c>
      <c r="F57" s="870"/>
      <c r="G57" s="870"/>
      <c r="H57" s="870"/>
      <c r="I57" s="870"/>
      <c r="J57" s="870"/>
      <c r="K57" s="870"/>
      <c r="L57" s="870"/>
      <c r="M57" s="870"/>
      <c r="N57" s="870" t="s">
        <v>202</v>
      </c>
      <c r="O57" s="870"/>
      <c r="P57" s="870"/>
      <c r="Q57" s="870"/>
      <c r="R57" s="870"/>
      <c r="S57" s="870"/>
      <c r="T57" s="870"/>
      <c r="U57" s="870"/>
      <c r="V57" s="870"/>
      <c r="W57" s="819" t="s">
        <v>1487</v>
      </c>
      <c r="AG57" s="89"/>
      <c r="AH57" s="89"/>
      <c r="AI57" s="89"/>
      <c r="AJ57" s="89"/>
      <c r="AK57" s="89"/>
      <c r="AL57" s="89"/>
      <c r="AM57" s="89"/>
      <c r="AN57" s="89"/>
      <c r="AO57" s="89"/>
      <c r="AP57" s="89"/>
      <c r="AQ57" s="89"/>
      <c r="AR57" s="89"/>
      <c r="AS57" s="89"/>
      <c r="AT57" s="89"/>
      <c r="AU57" s="89"/>
      <c r="AV57" s="89"/>
      <c r="AW57" s="89"/>
      <c r="AX57" s="89"/>
      <c r="AY57" s="89"/>
      <c r="AZ57" s="89"/>
      <c r="BA57" s="89"/>
    </row>
    <row r="58" spans="2:53" ht="14.4" customHeight="1">
      <c r="B58" s="874"/>
      <c r="C58" s="877"/>
      <c r="D58" s="871"/>
      <c r="E58" s="871"/>
      <c r="F58" s="871"/>
      <c r="G58" s="871"/>
      <c r="H58" s="871"/>
      <c r="I58" s="871"/>
      <c r="J58" s="871"/>
      <c r="K58" s="871"/>
      <c r="L58" s="871"/>
      <c r="M58" s="871"/>
      <c r="N58" s="871"/>
      <c r="O58" s="871"/>
      <c r="P58" s="871"/>
      <c r="Q58" s="871"/>
      <c r="R58" s="871"/>
      <c r="S58" s="871"/>
      <c r="T58" s="871"/>
      <c r="U58" s="871"/>
      <c r="V58" s="871"/>
      <c r="W58" s="821" t="s">
        <v>1484</v>
      </c>
      <c r="AG58" s="89"/>
      <c r="AH58" s="89"/>
      <c r="AI58" s="89"/>
      <c r="AJ58" s="89"/>
      <c r="AK58" s="89"/>
      <c r="AL58" s="89"/>
      <c r="AM58" s="89"/>
      <c r="AN58" s="89"/>
      <c r="AO58" s="89"/>
      <c r="AP58" s="89"/>
      <c r="AQ58" s="89"/>
      <c r="AR58" s="89"/>
      <c r="AS58" s="89"/>
      <c r="AT58" s="89"/>
      <c r="AU58" s="89"/>
      <c r="AV58" s="89"/>
      <c r="AW58" s="89"/>
      <c r="AX58" s="89"/>
      <c r="AY58" s="89"/>
      <c r="AZ58" s="89"/>
      <c r="BA58" s="89"/>
    </row>
    <row r="59" spans="2:53" ht="14.4" customHeight="1">
      <c r="B59" s="874"/>
      <c r="C59" s="877"/>
      <c r="D59" s="871"/>
      <c r="E59" s="871"/>
      <c r="F59" s="871"/>
      <c r="G59" s="871"/>
      <c r="H59" s="871"/>
      <c r="I59" s="871"/>
      <c r="J59" s="871"/>
      <c r="K59" s="871"/>
      <c r="L59" s="871"/>
      <c r="M59" s="871"/>
      <c r="N59" s="871"/>
      <c r="O59" s="871"/>
      <c r="P59" s="871"/>
      <c r="Q59" s="871"/>
      <c r="R59" s="871"/>
      <c r="S59" s="871"/>
      <c r="T59" s="871"/>
      <c r="U59" s="871"/>
      <c r="V59" s="871"/>
      <c r="W59" s="820" t="s">
        <v>1486</v>
      </c>
      <c r="AG59" s="89"/>
      <c r="AH59" s="89"/>
      <c r="AI59" s="89"/>
      <c r="AJ59" s="89"/>
      <c r="AK59" s="89"/>
      <c r="AL59" s="89"/>
      <c r="AM59" s="89"/>
      <c r="AN59" s="89"/>
      <c r="AO59" s="89"/>
      <c r="AP59" s="89"/>
      <c r="AQ59" s="89"/>
      <c r="AR59" s="89"/>
      <c r="AS59" s="89"/>
      <c r="AT59" s="89"/>
      <c r="AU59" s="89"/>
      <c r="AV59" s="89"/>
      <c r="AW59" s="89"/>
      <c r="AX59" s="89"/>
      <c r="AY59" s="89"/>
      <c r="AZ59" s="89"/>
      <c r="BA59" s="89"/>
    </row>
    <row r="60" spans="2:53" ht="14.4" customHeight="1">
      <c r="B60" s="875"/>
      <c r="C60" s="878"/>
      <c r="D60" s="872"/>
      <c r="E60" s="872"/>
      <c r="F60" s="872"/>
      <c r="G60" s="872"/>
      <c r="H60" s="872"/>
      <c r="I60" s="872"/>
      <c r="J60" s="872"/>
      <c r="K60" s="872"/>
      <c r="L60" s="872"/>
      <c r="M60" s="872"/>
      <c r="N60" s="872"/>
      <c r="O60" s="872"/>
      <c r="P60" s="872"/>
      <c r="Q60" s="872"/>
      <c r="R60" s="872"/>
      <c r="S60" s="872"/>
      <c r="T60" s="872"/>
      <c r="U60" s="872"/>
      <c r="V60" s="872"/>
      <c r="W60" s="822" t="s">
        <v>1485</v>
      </c>
      <c r="AG60" s="89"/>
      <c r="AH60" s="89"/>
      <c r="AI60" s="89"/>
      <c r="AJ60" s="89"/>
      <c r="AK60" s="89"/>
      <c r="AL60" s="89"/>
      <c r="AM60" s="89"/>
      <c r="AN60" s="89"/>
      <c r="AO60" s="89"/>
      <c r="AP60" s="89"/>
      <c r="AQ60" s="89"/>
      <c r="AR60" s="89"/>
      <c r="AS60" s="89"/>
      <c r="AT60" s="89"/>
      <c r="AU60" s="89"/>
      <c r="AV60" s="89"/>
      <c r="AW60" s="89"/>
      <c r="AX60" s="89"/>
      <c r="AY60" s="89"/>
      <c r="AZ60" s="89"/>
      <c r="BA60" s="89"/>
    </row>
    <row r="61" spans="2:53" ht="30" customHeight="1">
      <c r="B61" s="204" t="s">
        <v>837</v>
      </c>
      <c r="C61" s="807" t="s">
        <v>189</v>
      </c>
      <c r="D61" s="799" t="s">
        <v>202</v>
      </c>
      <c r="E61" s="799" t="s">
        <v>202</v>
      </c>
      <c r="F61" s="799"/>
      <c r="G61" s="799"/>
      <c r="H61" s="800"/>
      <c r="I61" s="799"/>
      <c r="J61" s="800"/>
      <c r="K61" s="799" t="s">
        <v>204</v>
      </c>
      <c r="L61" s="799"/>
      <c r="M61" s="799"/>
      <c r="N61" s="799"/>
      <c r="O61" s="799"/>
      <c r="P61" s="799"/>
      <c r="Q61" s="799"/>
      <c r="R61" s="799"/>
      <c r="S61" s="799"/>
      <c r="T61" s="799"/>
      <c r="U61" s="799"/>
      <c r="V61" s="800"/>
      <c r="W61" s="208" t="s">
        <v>651</v>
      </c>
      <c r="AG61" s="89"/>
      <c r="AH61" s="89"/>
      <c r="AI61" s="89"/>
      <c r="AJ61" s="89"/>
      <c r="AK61" s="89"/>
      <c r="AL61" s="89"/>
      <c r="AM61" s="89"/>
      <c r="AN61" s="89"/>
      <c r="AO61" s="89"/>
      <c r="AP61" s="89"/>
      <c r="AQ61" s="888"/>
      <c r="AR61" s="888"/>
      <c r="AS61" s="888"/>
      <c r="AT61" s="888"/>
      <c r="AU61" s="89"/>
      <c r="AV61" s="89"/>
      <c r="AW61" s="89"/>
      <c r="AX61" s="888"/>
      <c r="AY61" s="888"/>
      <c r="AZ61" s="888"/>
      <c r="BA61" s="888"/>
    </row>
    <row r="62" spans="2:53" ht="30" customHeight="1">
      <c r="B62" s="204" t="s">
        <v>838</v>
      </c>
      <c r="C62" s="807" t="s">
        <v>460</v>
      </c>
      <c r="D62" s="801" t="s">
        <v>202</v>
      </c>
      <c r="E62" s="801" t="s">
        <v>202</v>
      </c>
      <c r="F62" s="801"/>
      <c r="G62" s="801"/>
      <c r="H62" s="801"/>
      <c r="I62" s="801"/>
      <c r="J62" s="801"/>
      <c r="K62" s="801"/>
      <c r="L62" s="801"/>
      <c r="M62" s="801"/>
      <c r="N62" s="801"/>
      <c r="O62" s="801"/>
      <c r="P62" s="801"/>
      <c r="Q62" s="801"/>
      <c r="R62" s="800"/>
      <c r="S62" s="801"/>
      <c r="T62" s="801"/>
      <c r="U62" s="801"/>
      <c r="V62" s="801"/>
      <c r="W62" s="219"/>
      <c r="AG62" s="89"/>
      <c r="AH62" s="89"/>
      <c r="AI62" s="89"/>
      <c r="AJ62" s="89"/>
      <c r="AK62" s="89"/>
      <c r="AL62" s="89"/>
      <c r="AM62" s="89"/>
      <c r="AN62" s="89"/>
      <c r="AO62" s="89"/>
      <c r="AP62" s="89"/>
      <c r="AQ62" s="89"/>
      <c r="AR62" s="89"/>
      <c r="AS62" s="89"/>
      <c r="AT62" s="89"/>
      <c r="AU62" s="89"/>
      <c r="AV62" s="89"/>
      <c r="AW62" s="89"/>
      <c r="AX62" s="89"/>
      <c r="AY62" s="89"/>
      <c r="AZ62" s="89"/>
      <c r="BA62" s="89"/>
    </row>
    <row r="63" spans="2:53" ht="30" customHeight="1">
      <c r="B63" s="305" t="s">
        <v>838</v>
      </c>
      <c r="C63" s="808" t="s">
        <v>1045</v>
      </c>
      <c r="D63" s="803" t="s">
        <v>202</v>
      </c>
      <c r="E63" s="803" t="s">
        <v>202</v>
      </c>
      <c r="F63" s="803" t="s">
        <v>202</v>
      </c>
      <c r="G63" s="803"/>
      <c r="H63" s="803"/>
      <c r="I63" s="803"/>
      <c r="J63" s="803"/>
      <c r="K63" s="803"/>
      <c r="L63" s="803"/>
      <c r="M63" s="803"/>
      <c r="N63" s="803"/>
      <c r="O63" s="804"/>
      <c r="P63" s="803"/>
      <c r="Q63" s="804"/>
      <c r="R63" s="805"/>
      <c r="S63" s="803"/>
      <c r="T63" s="803"/>
      <c r="U63" s="803"/>
      <c r="V63" s="803"/>
      <c r="W63" s="209"/>
      <c r="AG63" s="89"/>
      <c r="AH63" s="89"/>
      <c r="AI63" s="89"/>
      <c r="AJ63" s="89"/>
      <c r="AK63" s="89"/>
      <c r="AL63" s="89"/>
      <c r="AM63" s="89"/>
      <c r="AN63" s="89"/>
      <c r="AO63" s="89"/>
      <c r="AP63" s="89"/>
      <c r="AQ63" s="89"/>
      <c r="AR63" s="89"/>
      <c r="AS63" s="89"/>
      <c r="AT63" s="89"/>
      <c r="AU63" s="89"/>
      <c r="AV63" s="89"/>
      <c r="AW63" s="89"/>
      <c r="AX63" s="89"/>
      <c r="AY63" s="89"/>
      <c r="AZ63" s="89"/>
      <c r="BA63" s="89"/>
    </row>
    <row r="65" spans="23:23">
      <c r="W65" s="96"/>
    </row>
    <row r="66" spans="23:23">
      <c r="W66" s="96"/>
    </row>
  </sheetData>
  <mergeCells count="101">
    <mergeCell ref="AX50:AY50"/>
    <mergeCell ref="AZ50:BA50"/>
    <mergeCell ref="AQ61:AR61"/>
    <mergeCell ref="AS50:AT50"/>
    <mergeCell ref="AS61:AT61"/>
    <mergeCell ref="AX61:AY61"/>
    <mergeCell ref="AZ61:BA61"/>
    <mergeCell ref="AQ50:AR50"/>
    <mergeCell ref="AQ48:AR48"/>
    <mergeCell ref="AX48:AY48"/>
    <mergeCell ref="AZ48:BA48"/>
    <mergeCell ref="AS48:AT48"/>
    <mergeCell ref="AS47:AT47"/>
    <mergeCell ref="AZ43:BA43"/>
    <mergeCell ref="AQ45:AR45"/>
    <mergeCell ref="AX45:AY45"/>
    <mergeCell ref="AZ45:BA45"/>
    <mergeCell ref="AS43:AT43"/>
    <mergeCell ref="AS44:AT44"/>
    <mergeCell ref="AZ44:BA44"/>
    <mergeCell ref="AQ43:AR43"/>
    <mergeCell ref="AX43:AY43"/>
    <mergeCell ref="AZ46:BA46"/>
    <mergeCell ref="AS46:AT46"/>
    <mergeCell ref="AQ44:AR44"/>
    <mergeCell ref="AS45:AT45"/>
    <mergeCell ref="AX44:AY44"/>
    <mergeCell ref="AQ46:AR46"/>
    <mergeCell ref="AQ47:AR47"/>
    <mergeCell ref="AX47:AY47"/>
    <mergeCell ref="AZ47:BA47"/>
    <mergeCell ref="AX46:AY46"/>
    <mergeCell ref="AZ34:BA34"/>
    <mergeCell ref="AS42:AT42"/>
    <mergeCell ref="AZ32:BA32"/>
    <mergeCell ref="AZ39:BA39"/>
    <mergeCell ref="AZ36:BA36"/>
    <mergeCell ref="AZ37:BA37"/>
    <mergeCell ref="AZ35:BA35"/>
    <mergeCell ref="AS40:AT40"/>
    <mergeCell ref="AS41:AT41"/>
    <mergeCell ref="AX40:AY40"/>
    <mergeCell ref="AZ40:BA40"/>
    <mergeCell ref="AZ33:BA33"/>
    <mergeCell ref="AX41:AY41"/>
    <mergeCell ref="AZ41:BA41"/>
    <mergeCell ref="AX42:AY42"/>
    <mergeCell ref="AZ42:BA42"/>
    <mergeCell ref="BA4:BA18"/>
    <mergeCell ref="AZ31:BA31"/>
    <mergeCell ref="AZ29:BA29"/>
    <mergeCell ref="AZ23:BA23"/>
    <mergeCell ref="AZ22:BA22"/>
    <mergeCell ref="AZ24:BA24"/>
    <mergeCell ref="AS24:AT24"/>
    <mergeCell ref="AQ24:AR24"/>
    <mergeCell ref="AX24:AY24"/>
    <mergeCell ref="F4:F18"/>
    <mergeCell ref="D4:D18"/>
    <mergeCell ref="H4:H18"/>
    <mergeCell ref="AQ42:AR42"/>
    <mergeCell ref="E4:E18"/>
    <mergeCell ref="M4:M18"/>
    <mergeCell ref="Q4:Q18"/>
    <mergeCell ref="W4:W18"/>
    <mergeCell ref="S4:S18"/>
    <mergeCell ref="T4:T18"/>
    <mergeCell ref="L4:L18"/>
    <mergeCell ref="O4:O18"/>
    <mergeCell ref="V4:V18"/>
    <mergeCell ref="J4:J18"/>
    <mergeCell ref="AQ40:AR40"/>
    <mergeCell ref="AQ41:AR41"/>
    <mergeCell ref="G4:G18"/>
    <mergeCell ref="I4:I18"/>
    <mergeCell ref="U4:U18"/>
    <mergeCell ref="P4:P18"/>
    <mergeCell ref="N4:N18"/>
    <mergeCell ref="K4:K18"/>
    <mergeCell ref="R4:R18"/>
    <mergeCell ref="G57:G60"/>
    <mergeCell ref="H57:H60"/>
    <mergeCell ref="I57:I60"/>
    <mergeCell ref="J57:J60"/>
    <mergeCell ref="K57:K60"/>
    <mergeCell ref="B57:B60"/>
    <mergeCell ref="F57:F60"/>
    <mergeCell ref="E57:E60"/>
    <mergeCell ref="D57:D60"/>
    <mergeCell ref="C57:C60"/>
    <mergeCell ref="V57:V60"/>
    <mergeCell ref="Q57:Q60"/>
    <mergeCell ref="R57:R60"/>
    <mergeCell ref="S57:S60"/>
    <mergeCell ref="T57:T60"/>
    <mergeCell ref="U57:U60"/>
    <mergeCell ref="L57:L60"/>
    <mergeCell ref="M57:M60"/>
    <mergeCell ref="N57:N60"/>
    <mergeCell ref="O57:O60"/>
    <mergeCell ref="P57:P60"/>
  </mergeCells>
  <phoneticPr fontId="3"/>
  <hyperlinks>
    <hyperlink ref="W58" r:id="rId1" xr:uid="{D298CF35-2620-483D-9E5A-7D91CA154F06}"/>
    <hyperlink ref="W60" r:id="rId2" xr:uid="{DB3162A9-C973-4186-A7B5-E349A3C474C8}"/>
  </hyperlinks>
  <printOptions horizontalCentered="1"/>
  <pageMargins left="0.19685039370078741" right="0.19685039370078741" top="0.19685039370078741" bottom="0.19685039370078741" header="0.31496062992125984" footer="0.31496062992125984"/>
  <pageSetup paperSize="9" scale="59" fitToHeight="0" orientation="landscape"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952B-F8EF-4BF8-992B-522DA005EFA4}">
  <sheetPr>
    <tabColor rgb="FFFFFF00"/>
    <pageSetUpPr fitToPage="1"/>
  </sheetPr>
  <dimension ref="A1:AH123"/>
  <sheetViews>
    <sheetView view="pageBreakPreview" zoomScaleNormal="100" zoomScaleSheetLayoutView="100" workbookViewId="0"/>
  </sheetViews>
  <sheetFormatPr defaultColWidth="3.44140625" defaultRowHeight="13.2"/>
  <cols>
    <col min="1" max="1" width="1.21875" style="3" customWidth="1"/>
    <col min="2" max="2" width="3" style="384"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row r="2" spans="2:33" s="1" customFormat="1">
      <c r="B2" s="1" t="s">
        <v>850</v>
      </c>
    </row>
    <row r="3" spans="2:33" s="1" customFormat="1">
      <c r="AA3" s="45" t="s">
        <v>313</v>
      </c>
      <c r="AB3" s="12"/>
      <c r="AC3" s="12" t="s">
        <v>34</v>
      </c>
      <c r="AD3" s="12"/>
      <c r="AE3" s="12" t="s">
        <v>654</v>
      </c>
      <c r="AF3" s="12"/>
      <c r="AG3" s="12" t="s">
        <v>376</v>
      </c>
    </row>
    <row r="4" spans="2:33" s="1" customFormat="1">
      <c r="AG4" s="45"/>
    </row>
    <row r="5" spans="2:33" s="1" customFormat="1" ht="24.75" customHeight="1">
      <c r="B5" s="1166" t="s">
        <v>534</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row>
    <row r="6" spans="2:33" s="1" customFormat="1"/>
    <row r="7" spans="2:33" s="1" customFormat="1" ht="27" customHeight="1">
      <c r="B7" s="1161" t="s">
        <v>149</v>
      </c>
      <c r="C7" s="1161"/>
      <c r="D7" s="1161"/>
      <c r="E7" s="1161"/>
      <c r="F7" s="1161"/>
      <c r="G7" s="1162"/>
      <c r="H7" s="1163"/>
      <c r="I7" s="1163"/>
      <c r="J7" s="1163"/>
      <c r="K7" s="1163"/>
      <c r="L7" s="1163"/>
      <c r="M7" s="1163"/>
      <c r="N7" s="1163"/>
      <c r="O7" s="1163"/>
      <c r="P7" s="1163"/>
      <c r="Q7" s="1163"/>
      <c r="R7" s="1163"/>
      <c r="S7" s="1163"/>
      <c r="T7" s="1163"/>
      <c r="U7" s="1163"/>
      <c r="V7" s="1163"/>
      <c r="W7" s="1163"/>
      <c r="X7" s="1163"/>
      <c r="Y7" s="1163"/>
      <c r="Z7" s="1163"/>
      <c r="AA7" s="1163"/>
      <c r="AB7" s="1163"/>
      <c r="AC7" s="1163"/>
      <c r="AD7" s="1163"/>
      <c r="AE7" s="1163"/>
      <c r="AF7" s="1163"/>
      <c r="AG7" s="1164"/>
    </row>
    <row r="8" spans="2:33" ht="27" customHeight="1">
      <c r="B8" s="904" t="s">
        <v>113</v>
      </c>
      <c r="C8" s="905"/>
      <c r="D8" s="905"/>
      <c r="E8" s="905"/>
      <c r="F8" s="906"/>
      <c r="G8" s="407"/>
      <c r="H8" s="398" t="s">
        <v>194</v>
      </c>
      <c r="I8" s="364" t="s">
        <v>840</v>
      </c>
      <c r="J8" s="364"/>
      <c r="K8" s="364"/>
      <c r="L8" s="364"/>
      <c r="M8" s="398" t="s">
        <v>194</v>
      </c>
      <c r="N8" s="364" t="s">
        <v>841</v>
      </c>
      <c r="O8" s="364"/>
      <c r="P8" s="364"/>
      <c r="Q8" s="364"/>
      <c r="R8" s="398" t="s">
        <v>194</v>
      </c>
      <c r="S8" s="364" t="s">
        <v>842</v>
      </c>
      <c r="T8" s="364"/>
      <c r="U8" s="364"/>
      <c r="V8" s="364"/>
      <c r="W8" s="364"/>
      <c r="X8" s="364"/>
      <c r="Y8" s="364"/>
      <c r="Z8" s="364"/>
      <c r="AA8" s="364"/>
      <c r="AB8" s="364"/>
      <c r="AC8" s="364"/>
      <c r="AD8" s="364"/>
      <c r="AE8" s="364"/>
      <c r="AF8" s="364"/>
      <c r="AG8" s="365"/>
    </row>
    <row r="9" spans="2:33" ht="27" customHeight="1">
      <c r="B9" s="904" t="s">
        <v>115</v>
      </c>
      <c r="C9" s="905"/>
      <c r="D9" s="905"/>
      <c r="E9" s="905"/>
      <c r="F9" s="906"/>
      <c r="G9" s="407"/>
      <c r="H9" s="398" t="s">
        <v>194</v>
      </c>
      <c r="I9" s="364" t="s">
        <v>843</v>
      </c>
      <c r="J9" s="364"/>
      <c r="K9" s="364"/>
      <c r="L9" s="364"/>
      <c r="M9" s="364"/>
      <c r="N9" s="364"/>
      <c r="O9" s="364"/>
      <c r="P9" s="364"/>
      <c r="Q9" s="364"/>
      <c r="R9" s="398" t="s">
        <v>194</v>
      </c>
      <c r="S9" s="364" t="s">
        <v>844</v>
      </c>
      <c r="T9" s="364"/>
      <c r="U9" s="297"/>
      <c r="V9" s="364"/>
      <c r="W9" s="364"/>
      <c r="X9" s="364"/>
      <c r="Y9" s="364"/>
      <c r="Z9" s="364"/>
      <c r="AA9" s="364"/>
      <c r="AB9" s="364"/>
      <c r="AC9" s="364"/>
      <c r="AD9" s="364"/>
      <c r="AE9" s="364"/>
      <c r="AF9" s="364"/>
      <c r="AG9" s="365"/>
    </row>
    <row r="10" spans="2:33" ht="27" customHeight="1">
      <c r="B10" s="904" t="s">
        <v>116</v>
      </c>
      <c r="C10" s="905"/>
      <c r="D10" s="905"/>
      <c r="E10" s="905"/>
      <c r="F10" s="905"/>
      <c r="G10" s="407"/>
      <c r="H10" s="398" t="s">
        <v>194</v>
      </c>
      <c r="I10" s="364" t="s">
        <v>845</v>
      </c>
      <c r="J10" s="364"/>
      <c r="K10" s="364"/>
      <c r="L10" s="364"/>
      <c r="M10" s="364"/>
      <c r="N10" s="364"/>
      <c r="O10" s="364"/>
      <c r="P10" s="364"/>
      <c r="Q10" s="364"/>
      <c r="R10" s="398" t="s">
        <v>194</v>
      </c>
      <c r="S10" s="364" t="s">
        <v>846</v>
      </c>
      <c r="T10" s="364"/>
      <c r="U10" s="364"/>
      <c r="V10" s="364"/>
      <c r="W10" s="364"/>
      <c r="X10" s="364"/>
      <c r="Y10" s="364"/>
      <c r="Z10" s="364"/>
      <c r="AA10" s="364"/>
      <c r="AB10" s="364"/>
      <c r="AC10" s="364"/>
      <c r="AD10" s="364"/>
      <c r="AE10" s="364"/>
      <c r="AF10" s="364"/>
      <c r="AG10" s="365"/>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920" t="s">
        <v>531</v>
      </c>
      <c r="C13" s="921"/>
      <c r="D13" s="921"/>
      <c r="E13" s="921"/>
      <c r="F13" s="926"/>
      <c r="H13" s="921" t="s">
        <v>535</v>
      </c>
      <c r="I13" s="921"/>
      <c r="J13" s="921"/>
      <c r="K13" s="921"/>
      <c r="L13" s="921"/>
      <c r="M13" s="921"/>
      <c r="N13" s="921"/>
      <c r="O13" s="921"/>
      <c r="P13" s="921"/>
      <c r="Q13" s="921"/>
      <c r="R13" s="921"/>
      <c r="S13" s="921"/>
      <c r="T13" s="921"/>
      <c r="U13" s="921"/>
      <c r="V13" s="921"/>
      <c r="W13" s="921"/>
      <c r="X13" s="921"/>
      <c r="Y13" s="921"/>
      <c r="Z13" s="921"/>
      <c r="AA13" s="921"/>
      <c r="AB13" s="921"/>
      <c r="AC13" s="921"/>
      <c r="AE13" s="241"/>
      <c r="AG13" s="242"/>
    </row>
    <row r="14" spans="2:33" s="1" customFormat="1" ht="27" customHeight="1">
      <c r="B14" s="920"/>
      <c r="C14" s="921"/>
      <c r="D14" s="921"/>
      <c r="E14" s="921"/>
      <c r="F14" s="926"/>
      <c r="Z14" s="12"/>
      <c r="AA14" s="12"/>
      <c r="AB14" s="12"/>
      <c r="AC14" s="12"/>
      <c r="AE14" s="399" t="s">
        <v>662</v>
      </c>
      <c r="AF14" s="400" t="s">
        <v>663</v>
      </c>
      <c r="AG14" s="401" t="s">
        <v>664</v>
      </c>
    </row>
    <row r="15" spans="2:33" s="1" customFormat="1" ht="30" customHeight="1">
      <c r="B15" s="920"/>
      <c r="C15" s="921"/>
      <c r="D15" s="921"/>
      <c r="E15" s="921"/>
      <c r="F15" s="926"/>
      <c r="H15" s="381" t="s">
        <v>142</v>
      </c>
      <c r="I15" s="1250" t="s">
        <v>126</v>
      </c>
      <c r="J15" s="1251"/>
      <c r="K15" s="1251"/>
      <c r="L15" s="1251"/>
      <c r="M15" s="1251"/>
      <c r="N15" s="1251"/>
      <c r="O15" s="1251"/>
      <c r="P15" s="1251"/>
      <c r="Q15" s="1251"/>
      <c r="R15" s="1251"/>
      <c r="S15" s="1251"/>
      <c r="T15" s="1251"/>
      <c r="U15" s="1251"/>
      <c r="V15" s="1252"/>
      <c r="W15" s="904"/>
      <c r="X15" s="905"/>
      <c r="Y15" s="348" t="s">
        <v>97</v>
      </c>
      <c r="Z15" s="12"/>
      <c r="AA15" s="12"/>
      <c r="AB15" s="12"/>
      <c r="AC15" s="12"/>
      <c r="AE15" s="241"/>
      <c r="AG15" s="242"/>
    </row>
    <row r="16" spans="2:33" s="1" customFormat="1" ht="30" customHeight="1">
      <c r="B16" s="920"/>
      <c r="C16" s="921"/>
      <c r="D16" s="921"/>
      <c r="E16" s="921"/>
      <c r="F16" s="926"/>
      <c r="H16" s="381" t="s">
        <v>140</v>
      </c>
      <c r="I16" s="1250" t="s">
        <v>536</v>
      </c>
      <c r="J16" s="1251"/>
      <c r="K16" s="1251"/>
      <c r="L16" s="1251"/>
      <c r="M16" s="1251"/>
      <c r="N16" s="1251"/>
      <c r="O16" s="1251"/>
      <c r="P16" s="1251"/>
      <c r="Q16" s="1251"/>
      <c r="R16" s="1251"/>
      <c r="S16" s="1251"/>
      <c r="T16" s="1251"/>
      <c r="U16" s="1251"/>
      <c r="V16" s="1252"/>
      <c r="W16" s="904"/>
      <c r="X16" s="905"/>
      <c r="Y16" s="348" t="s">
        <v>97</v>
      </c>
      <c r="Z16" s="1" t="s">
        <v>141</v>
      </c>
      <c r="AA16" s="1254" t="s">
        <v>127</v>
      </c>
      <c r="AB16" s="1254"/>
      <c r="AC16" s="1254"/>
      <c r="AE16" s="402" t="s">
        <v>194</v>
      </c>
      <c r="AF16" s="403" t="s">
        <v>663</v>
      </c>
      <c r="AG16" s="404" t="s">
        <v>194</v>
      </c>
    </row>
    <row r="17" spans="2:33" s="1" customFormat="1" ht="30" customHeight="1">
      <c r="B17" s="920"/>
      <c r="C17" s="921"/>
      <c r="D17" s="921"/>
      <c r="E17" s="921"/>
      <c r="F17" s="926"/>
      <c r="H17" s="381" t="s">
        <v>148</v>
      </c>
      <c r="I17" s="1250" t="s">
        <v>537</v>
      </c>
      <c r="J17" s="1251"/>
      <c r="K17" s="1251"/>
      <c r="L17" s="1251"/>
      <c r="M17" s="1251"/>
      <c r="N17" s="1251"/>
      <c r="O17" s="1251"/>
      <c r="P17" s="1251"/>
      <c r="Q17" s="1251"/>
      <c r="R17" s="1251"/>
      <c r="S17" s="1251"/>
      <c r="T17" s="1251"/>
      <c r="U17" s="1251"/>
      <c r="V17" s="1252"/>
      <c r="W17" s="904"/>
      <c r="X17" s="905"/>
      <c r="Y17" s="348" t="s">
        <v>97</v>
      </c>
      <c r="Z17" s="1" t="s">
        <v>141</v>
      </c>
      <c r="AA17" s="1254" t="s">
        <v>128</v>
      </c>
      <c r="AB17" s="1254"/>
      <c r="AC17" s="1254"/>
      <c r="AE17" s="402" t="s">
        <v>194</v>
      </c>
      <c r="AF17" s="403" t="s">
        <v>663</v>
      </c>
      <c r="AG17" s="404" t="s">
        <v>194</v>
      </c>
    </row>
    <row r="18" spans="2:33" s="1" customFormat="1" ht="30" customHeight="1">
      <c r="B18" s="358"/>
      <c r="C18" s="21"/>
      <c r="D18" s="21"/>
      <c r="E18" s="21"/>
      <c r="F18" s="359"/>
      <c r="H18" s="381" t="s">
        <v>150</v>
      </c>
      <c r="I18" s="1250" t="s">
        <v>129</v>
      </c>
      <c r="J18" s="1251"/>
      <c r="K18" s="1251"/>
      <c r="L18" s="1251"/>
      <c r="M18" s="1251"/>
      <c r="N18" s="1251"/>
      <c r="O18" s="1251"/>
      <c r="P18" s="1251"/>
      <c r="Q18" s="1251"/>
      <c r="R18" s="1251"/>
      <c r="S18" s="1251"/>
      <c r="T18" s="1251"/>
      <c r="U18" s="1251"/>
      <c r="V18" s="1252"/>
      <c r="W18" s="904"/>
      <c r="X18" s="905"/>
      <c r="Y18" s="348" t="s">
        <v>97</v>
      </c>
      <c r="AA18" s="379"/>
      <c r="AB18" s="379"/>
      <c r="AC18" s="379"/>
      <c r="AE18" s="377"/>
      <c r="AF18" s="367"/>
      <c r="AG18" s="378"/>
    </row>
    <row r="19" spans="2:33" s="1" customFormat="1" ht="40.5" customHeight="1">
      <c r="B19" s="271"/>
      <c r="C19" s="369"/>
      <c r="D19" s="369"/>
      <c r="E19" s="369"/>
      <c r="F19" s="272"/>
      <c r="H19" s="381" t="s">
        <v>151</v>
      </c>
      <c r="I19" s="1250" t="s">
        <v>538</v>
      </c>
      <c r="J19" s="1251"/>
      <c r="K19" s="1251"/>
      <c r="L19" s="1251"/>
      <c r="M19" s="1251"/>
      <c r="N19" s="1251"/>
      <c r="O19" s="1251"/>
      <c r="P19" s="1251"/>
      <c r="Q19" s="1251"/>
      <c r="R19" s="1251"/>
      <c r="S19" s="1251"/>
      <c r="T19" s="1251"/>
      <c r="U19" s="1251"/>
      <c r="V19" s="1252"/>
      <c r="W19" s="904"/>
      <c r="X19" s="905"/>
      <c r="Y19" s="348" t="s">
        <v>97</v>
      </c>
      <c r="Z19" s="1" t="s">
        <v>141</v>
      </c>
      <c r="AA19" s="1253" t="s">
        <v>849</v>
      </c>
      <c r="AB19" s="1253"/>
      <c r="AC19" s="1253"/>
      <c r="AE19" s="402" t="s">
        <v>194</v>
      </c>
      <c r="AF19" s="403" t="s">
        <v>663</v>
      </c>
      <c r="AG19" s="404" t="s">
        <v>194</v>
      </c>
    </row>
    <row r="20" spans="2:33" s="1" customFormat="1" ht="12" customHeight="1">
      <c r="B20" s="271"/>
      <c r="C20" s="369"/>
      <c r="D20" s="369"/>
      <c r="E20" s="369"/>
      <c r="F20" s="272"/>
      <c r="H20" s="367"/>
      <c r="I20" s="273"/>
      <c r="J20" s="273"/>
      <c r="K20" s="273"/>
      <c r="L20" s="273"/>
      <c r="M20" s="273"/>
      <c r="N20" s="273"/>
      <c r="O20" s="273"/>
      <c r="P20" s="273"/>
      <c r="Q20" s="273"/>
      <c r="R20" s="273"/>
      <c r="S20" s="273"/>
      <c r="T20" s="273"/>
      <c r="U20" s="273"/>
      <c r="V20" s="273"/>
      <c r="Y20" s="12"/>
      <c r="AA20" s="379"/>
      <c r="AB20" s="379"/>
      <c r="AC20" s="379"/>
      <c r="AE20" s="377"/>
      <c r="AF20" s="367"/>
      <c r="AG20" s="378"/>
    </row>
    <row r="21" spans="2:33" s="1" customFormat="1">
      <c r="B21" s="271"/>
      <c r="C21" s="369"/>
      <c r="D21" s="369"/>
      <c r="E21" s="369"/>
      <c r="F21" s="272"/>
      <c r="H21" s="274" t="s">
        <v>130</v>
      </c>
      <c r="I21" s="273"/>
      <c r="J21" s="273"/>
      <c r="K21" s="273"/>
      <c r="L21" s="273"/>
      <c r="M21" s="273"/>
      <c r="N21" s="273"/>
      <c r="O21" s="273"/>
      <c r="P21" s="273"/>
      <c r="Q21" s="273"/>
      <c r="R21" s="273"/>
      <c r="S21" s="273"/>
      <c r="T21" s="273"/>
      <c r="U21" s="273"/>
      <c r="V21" s="273"/>
      <c r="Y21" s="12"/>
      <c r="AA21" s="379"/>
      <c r="AB21" s="379"/>
      <c r="AC21" s="379"/>
      <c r="AE21" s="377"/>
      <c r="AF21" s="367"/>
      <c r="AG21" s="378"/>
    </row>
    <row r="22" spans="2:33" s="1" customFormat="1" ht="47.25" customHeight="1">
      <c r="B22" s="241"/>
      <c r="G22" s="241"/>
      <c r="H22" s="1215" t="s">
        <v>131</v>
      </c>
      <c r="I22" s="1216"/>
      <c r="J22" s="1216"/>
      <c r="K22" s="1216"/>
      <c r="L22" s="1217"/>
      <c r="M22" s="275" t="s">
        <v>132</v>
      </c>
      <c r="N22" s="276"/>
      <c r="O22" s="276"/>
      <c r="P22" s="1255"/>
      <c r="Q22" s="1255"/>
      <c r="R22" s="1255"/>
      <c r="S22" s="1255"/>
      <c r="T22" s="1255"/>
      <c r="U22" s="1255"/>
      <c r="V22" s="1255"/>
      <c r="W22" s="1255"/>
      <c r="X22" s="1255"/>
      <c r="Y22" s="348" t="s">
        <v>97</v>
      </c>
      <c r="Z22" s="1" t="s">
        <v>141</v>
      </c>
      <c r="AA22" s="1253" t="s">
        <v>539</v>
      </c>
      <c r="AB22" s="1253"/>
      <c r="AC22" s="1253"/>
      <c r="AD22" s="242"/>
      <c r="AE22" s="402" t="s">
        <v>194</v>
      </c>
      <c r="AF22" s="403" t="s">
        <v>663</v>
      </c>
      <c r="AG22" s="404" t="s">
        <v>194</v>
      </c>
    </row>
    <row r="23" spans="2:33" s="1" customFormat="1" ht="18.75" customHeight="1">
      <c r="B23" s="355"/>
      <c r="C23" s="356"/>
      <c r="D23" s="356"/>
      <c r="E23" s="356"/>
      <c r="F23" s="356"/>
      <c r="G23" s="277"/>
      <c r="H23" s="380"/>
      <c r="I23" s="380"/>
      <c r="J23" s="380"/>
      <c r="K23" s="380"/>
      <c r="L23" s="380"/>
      <c r="M23" s="275"/>
      <c r="N23" s="276"/>
      <c r="O23" s="276"/>
      <c r="P23" s="276"/>
      <c r="Q23" s="276"/>
      <c r="R23" s="276"/>
      <c r="S23" s="276"/>
      <c r="T23" s="276"/>
      <c r="U23" s="276"/>
      <c r="V23" s="276"/>
      <c r="W23" s="10"/>
      <c r="X23" s="10"/>
      <c r="Y23" s="347"/>
      <c r="Z23" s="8"/>
      <c r="AA23" s="278"/>
      <c r="AB23" s="278"/>
      <c r="AC23" s="278"/>
      <c r="AD23" s="279"/>
      <c r="AE23" s="368"/>
      <c r="AF23" s="368"/>
      <c r="AG23" s="280"/>
    </row>
    <row r="24" spans="2:33" s="1" customFormat="1" ht="10.5" customHeight="1">
      <c r="B24" s="354"/>
      <c r="C24" s="351"/>
      <c r="D24" s="351"/>
      <c r="E24" s="351"/>
      <c r="F24" s="352"/>
      <c r="G24" s="7"/>
      <c r="H24" s="281"/>
      <c r="I24" s="281"/>
      <c r="J24" s="281"/>
      <c r="K24" s="281"/>
      <c r="L24" s="281"/>
      <c r="M24" s="282"/>
      <c r="N24" s="283"/>
      <c r="O24" s="283"/>
      <c r="P24" s="283"/>
      <c r="Q24" s="283"/>
      <c r="R24" s="283"/>
      <c r="S24" s="283"/>
      <c r="T24" s="283"/>
      <c r="U24" s="283"/>
      <c r="V24" s="283"/>
      <c r="W24" s="7"/>
      <c r="X24" s="7"/>
      <c r="Y24" s="361"/>
      <c r="Z24" s="7"/>
      <c r="AA24" s="284"/>
      <c r="AB24" s="284"/>
      <c r="AC24" s="284"/>
      <c r="AD24" s="7"/>
      <c r="AE24" s="285"/>
      <c r="AF24" s="281"/>
      <c r="AG24" s="286"/>
    </row>
    <row r="25" spans="2:33" s="1" customFormat="1" ht="18.75" customHeight="1">
      <c r="B25" s="358"/>
      <c r="C25" s="21"/>
      <c r="D25" s="21"/>
      <c r="E25" s="21"/>
      <c r="F25" s="359"/>
      <c r="H25" s="274" t="s">
        <v>540</v>
      </c>
      <c r="I25" s="367"/>
      <c r="J25" s="367"/>
      <c r="K25" s="367"/>
      <c r="L25" s="367"/>
      <c r="M25" s="287"/>
      <c r="N25" s="288"/>
      <c r="O25" s="288"/>
      <c r="P25" s="288"/>
      <c r="Q25" s="288"/>
      <c r="R25" s="288"/>
      <c r="S25" s="288"/>
      <c r="T25" s="288"/>
      <c r="U25" s="288"/>
      <c r="V25" s="288"/>
      <c r="Y25" s="12"/>
      <c r="AA25" s="379"/>
      <c r="AB25" s="379"/>
      <c r="AC25" s="379"/>
      <c r="AE25" s="399" t="s">
        <v>662</v>
      </c>
      <c r="AF25" s="400" t="s">
        <v>663</v>
      </c>
      <c r="AG25" s="401" t="s">
        <v>664</v>
      </c>
    </row>
    <row r="26" spans="2:33" s="1" customFormat="1" ht="18.75" customHeight="1">
      <c r="B26" s="920" t="s">
        <v>541</v>
      </c>
      <c r="C26" s="921"/>
      <c r="D26" s="921"/>
      <c r="E26" s="921"/>
      <c r="F26" s="926"/>
      <c r="H26" s="274" t="s">
        <v>542</v>
      </c>
      <c r="I26" s="367"/>
      <c r="J26" s="367"/>
      <c r="K26" s="367"/>
      <c r="L26" s="367"/>
      <c r="M26" s="287"/>
      <c r="N26" s="288"/>
      <c r="O26" s="288"/>
      <c r="P26" s="288"/>
      <c r="Q26" s="288"/>
      <c r="R26" s="288"/>
      <c r="S26" s="288"/>
      <c r="T26" s="288"/>
      <c r="U26" s="288"/>
      <c r="V26" s="288"/>
      <c r="Y26" s="12"/>
      <c r="AA26" s="379"/>
      <c r="AB26" s="379"/>
      <c r="AC26" s="379"/>
      <c r="AE26" s="408"/>
      <c r="AF26" s="287"/>
      <c r="AG26" s="409"/>
    </row>
    <row r="27" spans="2:33" s="1" customFormat="1" ht="18.75" customHeight="1">
      <c r="B27" s="920"/>
      <c r="C27" s="921"/>
      <c r="D27" s="921"/>
      <c r="E27" s="921"/>
      <c r="F27" s="926"/>
      <c r="H27" s="274" t="s">
        <v>543</v>
      </c>
      <c r="I27" s="367"/>
      <c r="J27" s="367"/>
      <c r="K27" s="367"/>
      <c r="L27" s="367"/>
      <c r="M27" s="287"/>
      <c r="N27" s="288"/>
      <c r="O27" s="288"/>
      <c r="P27" s="288"/>
      <c r="Q27" s="288"/>
      <c r="R27" s="288"/>
      <c r="S27" s="288"/>
      <c r="T27" s="288"/>
      <c r="U27" s="288"/>
      <c r="V27" s="288"/>
      <c r="Y27" s="12"/>
      <c r="AA27" s="379"/>
      <c r="AB27" s="379"/>
      <c r="AC27" s="379"/>
      <c r="AE27" s="402" t="s">
        <v>194</v>
      </c>
      <c r="AF27" s="403" t="s">
        <v>663</v>
      </c>
      <c r="AG27" s="404" t="s">
        <v>194</v>
      </c>
    </row>
    <row r="28" spans="2:33" s="1" customFormat="1" ht="18.75" customHeight="1">
      <c r="B28" s="920"/>
      <c r="C28" s="921"/>
      <c r="D28" s="921"/>
      <c r="E28" s="921"/>
      <c r="F28" s="926"/>
      <c r="H28" s="274" t="s">
        <v>544</v>
      </c>
      <c r="I28" s="367"/>
      <c r="J28" s="367"/>
      <c r="K28" s="367"/>
      <c r="L28" s="367"/>
      <c r="M28" s="287"/>
      <c r="N28" s="288"/>
      <c r="O28" s="288"/>
      <c r="P28" s="288"/>
      <c r="Q28" s="288"/>
      <c r="R28" s="288"/>
      <c r="S28" s="288"/>
      <c r="T28" s="288"/>
      <c r="U28" s="288"/>
      <c r="V28" s="288"/>
      <c r="Y28" s="12"/>
      <c r="AA28" s="379"/>
      <c r="AB28" s="379"/>
      <c r="AC28" s="379"/>
      <c r="AE28" s="402" t="s">
        <v>194</v>
      </c>
      <c r="AF28" s="403" t="s">
        <v>663</v>
      </c>
      <c r="AG28" s="404" t="s">
        <v>194</v>
      </c>
    </row>
    <row r="29" spans="2:33" s="1" customFormat="1" ht="18.75" customHeight="1">
      <c r="B29" s="920"/>
      <c r="C29" s="921"/>
      <c r="D29" s="921"/>
      <c r="E29" s="921"/>
      <c r="F29" s="926"/>
      <c r="H29" s="274" t="s">
        <v>545</v>
      </c>
      <c r="I29" s="367"/>
      <c r="J29" s="367"/>
      <c r="K29" s="367"/>
      <c r="L29" s="367"/>
      <c r="M29" s="287"/>
      <c r="N29" s="288"/>
      <c r="O29" s="288"/>
      <c r="P29" s="288"/>
      <c r="Q29" s="288"/>
      <c r="R29" s="288"/>
      <c r="S29" s="288"/>
      <c r="T29" s="288"/>
      <c r="U29" s="288"/>
      <c r="V29" s="288"/>
      <c r="Y29" s="12"/>
      <c r="AA29" s="379"/>
      <c r="AB29" s="379"/>
      <c r="AC29" s="379"/>
      <c r="AE29" s="402" t="s">
        <v>194</v>
      </c>
      <c r="AF29" s="403" t="s">
        <v>663</v>
      </c>
      <c r="AG29" s="404" t="s">
        <v>194</v>
      </c>
    </row>
    <row r="30" spans="2:33" s="1" customFormat="1" ht="18.75" customHeight="1">
      <c r="B30" s="920"/>
      <c r="C30" s="921"/>
      <c r="D30" s="921"/>
      <c r="E30" s="921"/>
      <c r="F30" s="926"/>
      <c r="H30" s="274" t="s">
        <v>546</v>
      </c>
      <c r="I30" s="367"/>
      <c r="J30" s="367"/>
      <c r="K30" s="367"/>
      <c r="L30" s="367"/>
      <c r="M30" s="287"/>
      <c r="N30" s="288"/>
      <c r="O30" s="288"/>
      <c r="P30" s="288"/>
      <c r="Q30" s="288"/>
      <c r="R30" s="288"/>
      <c r="S30" s="288"/>
      <c r="T30" s="288"/>
      <c r="U30" s="288"/>
      <c r="V30" s="288"/>
      <c r="Y30" s="12"/>
      <c r="AA30" s="379"/>
      <c r="AB30" s="379"/>
      <c r="AC30" s="379"/>
      <c r="AE30" s="402" t="s">
        <v>194</v>
      </c>
      <c r="AF30" s="403" t="s">
        <v>663</v>
      </c>
      <c r="AG30" s="404" t="s">
        <v>194</v>
      </c>
    </row>
    <row r="31" spans="2:33" s="1" customFormat="1" ht="18.75" customHeight="1">
      <c r="B31" s="920"/>
      <c r="C31" s="921"/>
      <c r="D31" s="921"/>
      <c r="E31" s="921"/>
      <c r="F31" s="926"/>
      <c r="H31" s="274" t="s">
        <v>547</v>
      </c>
      <c r="I31" s="367"/>
      <c r="J31" s="367"/>
      <c r="K31" s="367"/>
      <c r="L31" s="367"/>
      <c r="M31" s="287"/>
      <c r="N31" s="288"/>
      <c r="O31" s="288"/>
      <c r="P31" s="288"/>
      <c r="Q31" s="288"/>
      <c r="R31" s="288"/>
      <c r="S31" s="288"/>
      <c r="T31" s="288"/>
      <c r="U31" s="288"/>
      <c r="V31" s="288"/>
      <c r="W31" s="288"/>
      <c r="Z31" s="12"/>
      <c r="AB31" s="379"/>
      <c r="AC31" s="379"/>
      <c r="AD31" s="367"/>
      <c r="AE31" s="377"/>
      <c r="AF31" s="367"/>
      <c r="AG31" s="242"/>
    </row>
    <row r="32" spans="2:33" s="1" customFormat="1" ht="18.75" customHeight="1">
      <c r="B32" s="920"/>
      <c r="C32" s="921"/>
      <c r="D32" s="921"/>
      <c r="E32" s="921"/>
      <c r="F32" s="926"/>
      <c r="H32" s="274"/>
      <c r="I32" s="1256" t="s">
        <v>167</v>
      </c>
      <c r="J32" s="1256"/>
      <c r="K32" s="1256"/>
      <c r="L32" s="1256"/>
      <c r="M32" s="1256"/>
      <c r="N32" s="1257"/>
      <c r="O32" s="967"/>
      <c r="P32" s="967"/>
      <c r="Q32" s="967"/>
      <c r="R32" s="967"/>
      <c r="S32" s="967"/>
      <c r="T32" s="967"/>
      <c r="U32" s="967"/>
      <c r="V32" s="967"/>
      <c r="W32" s="967"/>
      <c r="X32" s="967"/>
      <c r="Y32" s="967"/>
      <c r="Z32" s="967"/>
      <c r="AA32" s="967"/>
      <c r="AB32" s="968"/>
      <c r="AC32" s="289"/>
      <c r="AD32" s="367"/>
      <c r="AE32" s="377"/>
      <c r="AF32" s="367"/>
      <c r="AG32" s="242"/>
    </row>
    <row r="33" spans="1:34" s="1" customFormat="1" ht="18.75" customHeight="1">
      <c r="B33" s="920"/>
      <c r="C33" s="921"/>
      <c r="D33" s="921"/>
      <c r="E33" s="921"/>
      <c r="F33" s="926"/>
      <c r="H33" s="274"/>
      <c r="I33" s="1256" t="s">
        <v>175</v>
      </c>
      <c r="J33" s="1256"/>
      <c r="K33" s="1256"/>
      <c r="L33" s="1256"/>
      <c r="M33" s="1256"/>
      <c r="N33" s="1257"/>
      <c r="O33" s="967"/>
      <c r="P33" s="967"/>
      <c r="Q33" s="967"/>
      <c r="R33" s="967"/>
      <c r="S33" s="967"/>
      <c r="T33" s="967"/>
      <c r="U33" s="967"/>
      <c r="V33" s="967"/>
      <c r="W33" s="967"/>
      <c r="X33" s="967"/>
      <c r="Y33" s="967"/>
      <c r="Z33" s="967"/>
      <c r="AA33" s="967"/>
      <c r="AB33" s="968"/>
      <c r="AC33" s="289"/>
      <c r="AD33" s="367"/>
      <c r="AE33" s="377"/>
      <c r="AF33" s="367"/>
      <c r="AG33" s="242"/>
    </row>
    <row r="34" spans="1:34" s="1" customFormat="1" ht="18.75" customHeight="1">
      <c r="B34" s="920"/>
      <c r="C34" s="921"/>
      <c r="D34" s="921"/>
      <c r="E34" s="921"/>
      <c r="F34" s="926"/>
      <c r="H34" s="274"/>
      <c r="I34" s="1256" t="s">
        <v>168</v>
      </c>
      <c r="J34" s="1256"/>
      <c r="K34" s="1256"/>
      <c r="L34" s="1256"/>
      <c r="M34" s="1256"/>
      <c r="N34" s="1257"/>
      <c r="O34" s="967"/>
      <c r="P34" s="967"/>
      <c r="Q34" s="967"/>
      <c r="R34" s="967"/>
      <c r="S34" s="967"/>
      <c r="T34" s="967"/>
      <c r="U34" s="967"/>
      <c r="V34" s="967"/>
      <c r="W34" s="967"/>
      <c r="X34" s="967"/>
      <c r="Y34" s="967"/>
      <c r="Z34" s="967"/>
      <c r="AA34" s="967"/>
      <c r="AB34" s="968"/>
      <c r="AC34" s="289"/>
      <c r="AD34" s="367"/>
      <c r="AE34" s="377"/>
      <c r="AF34" s="367"/>
      <c r="AG34" s="242"/>
    </row>
    <row r="35" spans="1:34" s="1" customFormat="1" ht="33.75" customHeight="1">
      <c r="B35" s="920"/>
      <c r="C35" s="921"/>
      <c r="D35" s="921"/>
      <c r="E35" s="921"/>
      <c r="F35" s="926"/>
      <c r="H35" s="1258" t="s">
        <v>548</v>
      </c>
      <c r="I35" s="1258"/>
      <c r="J35" s="1258"/>
      <c r="K35" s="1258"/>
      <c r="L35" s="1258"/>
      <c r="M35" s="1258"/>
      <c r="N35" s="1258"/>
      <c r="O35" s="1258"/>
      <c r="P35" s="1258"/>
      <c r="Q35" s="1258"/>
      <c r="R35" s="1258"/>
      <c r="S35" s="1258"/>
      <c r="T35" s="1258"/>
      <c r="U35" s="1258"/>
      <c r="V35" s="1258"/>
      <c r="W35" s="1258"/>
      <c r="X35" s="1258"/>
      <c r="Y35" s="1258"/>
      <c r="Z35" s="1258"/>
      <c r="AA35" s="1258"/>
      <c r="AB35" s="1258"/>
      <c r="AC35" s="1258"/>
      <c r="AE35" s="377"/>
      <c r="AF35" s="367"/>
      <c r="AG35" s="378"/>
    </row>
    <row r="36" spans="1:34" s="1" customFormat="1" ht="36" customHeight="1">
      <c r="B36" s="920"/>
      <c r="C36" s="921"/>
      <c r="D36" s="921"/>
      <c r="E36" s="921"/>
      <c r="F36" s="926"/>
      <c r="H36" s="1253" t="s">
        <v>851</v>
      </c>
      <c r="I36" s="1253"/>
      <c r="J36" s="1253"/>
      <c r="K36" s="1253"/>
      <c r="L36" s="1253"/>
      <c r="M36" s="1253"/>
      <c r="N36" s="1253"/>
      <c r="O36" s="1253"/>
      <c r="P36" s="1253"/>
      <c r="Q36" s="1253"/>
      <c r="R36" s="1253"/>
      <c r="S36" s="1253"/>
      <c r="T36" s="1253"/>
      <c r="U36" s="1253"/>
      <c r="V36" s="1253"/>
      <c r="W36" s="1253"/>
      <c r="X36" s="1253"/>
      <c r="Y36" s="1253"/>
      <c r="Z36" s="1253"/>
      <c r="AA36" s="1253"/>
      <c r="AB36" s="1253"/>
      <c r="AC36" s="1253"/>
      <c r="AD36" s="1259"/>
      <c r="AE36" s="402" t="s">
        <v>194</v>
      </c>
      <c r="AF36" s="403" t="s">
        <v>663</v>
      </c>
      <c r="AG36" s="404" t="s">
        <v>194</v>
      </c>
    </row>
    <row r="37" spans="1:34" s="1" customFormat="1" ht="18.75" customHeight="1">
      <c r="B37" s="920"/>
      <c r="C37" s="921"/>
      <c r="D37" s="921"/>
      <c r="E37" s="921"/>
      <c r="F37" s="926"/>
      <c r="H37" s="274" t="s">
        <v>549</v>
      </c>
      <c r="I37" s="379"/>
      <c r="J37" s="379"/>
      <c r="K37" s="379"/>
      <c r="L37" s="379"/>
      <c r="M37" s="379"/>
      <c r="N37" s="379"/>
      <c r="O37" s="379"/>
      <c r="P37" s="379"/>
      <c r="Q37" s="379"/>
      <c r="R37" s="379"/>
      <c r="S37" s="379"/>
      <c r="T37" s="379"/>
      <c r="U37" s="379"/>
      <c r="V37" s="379"/>
      <c r="W37" s="379"/>
      <c r="X37" s="379"/>
      <c r="Y37" s="379"/>
      <c r="Z37" s="379"/>
      <c r="AA37" s="379"/>
      <c r="AB37" s="379"/>
      <c r="AC37" s="379"/>
      <c r="AE37" s="402" t="s">
        <v>194</v>
      </c>
      <c r="AF37" s="403" t="s">
        <v>663</v>
      </c>
      <c r="AG37" s="404" t="s">
        <v>194</v>
      </c>
    </row>
    <row r="38" spans="1:34" s="1" customFormat="1" ht="18.75" customHeight="1">
      <c r="A38" s="242"/>
      <c r="B38" s="928"/>
      <c r="C38" s="928"/>
      <c r="D38" s="928"/>
      <c r="E38" s="928"/>
      <c r="F38" s="929"/>
      <c r="G38" s="241"/>
      <c r="H38" s="274" t="s">
        <v>550</v>
      </c>
      <c r="I38" s="367"/>
      <c r="J38" s="367"/>
      <c r="K38" s="367"/>
      <c r="L38" s="367"/>
      <c r="M38" s="287"/>
      <c r="N38" s="288"/>
      <c r="O38" s="288"/>
      <c r="P38" s="288"/>
      <c r="Q38" s="288"/>
      <c r="R38" s="288"/>
      <c r="S38" s="288"/>
      <c r="T38" s="288"/>
      <c r="U38" s="288"/>
      <c r="V38" s="288"/>
      <c r="Y38" s="12"/>
      <c r="AA38" s="379"/>
      <c r="AB38" s="379"/>
      <c r="AC38" s="379"/>
      <c r="AE38" s="402" t="s">
        <v>194</v>
      </c>
      <c r="AF38" s="403" t="s">
        <v>663</v>
      </c>
      <c r="AG38" s="404" t="s">
        <v>194</v>
      </c>
    </row>
    <row r="39" spans="1:34" s="1" customFormat="1" ht="18.75" customHeight="1">
      <c r="B39" s="920"/>
      <c r="C39" s="915"/>
      <c r="D39" s="921"/>
      <c r="E39" s="921"/>
      <c r="F39" s="926"/>
      <c r="H39" s="274" t="s">
        <v>551</v>
      </c>
      <c r="I39" s="367"/>
      <c r="J39" s="367"/>
      <c r="K39" s="367"/>
      <c r="L39" s="367"/>
      <c r="M39" s="287"/>
      <c r="N39" s="288"/>
      <c r="O39" s="288"/>
      <c r="P39" s="288"/>
      <c r="Q39" s="288"/>
      <c r="R39" s="288"/>
      <c r="S39" s="288"/>
      <c r="T39" s="288"/>
      <c r="U39" s="288"/>
      <c r="V39" s="288"/>
      <c r="Y39" s="12"/>
      <c r="AA39" s="379"/>
      <c r="AB39" s="379"/>
      <c r="AC39" s="379"/>
      <c r="AE39" s="402" t="s">
        <v>194</v>
      </c>
      <c r="AF39" s="403" t="s">
        <v>663</v>
      </c>
      <c r="AG39" s="404" t="s">
        <v>194</v>
      </c>
    </row>
    <row r="40" spans="1:34" s="1" customFormat="1" ht="18.75" customHeight="1">
      <c r="B40" s="358"/>
      <c r="C40" s="21"/>
      <c r="D40" s="21"/>
      <c r="E40" s="21"/>
      <c r="F40" s="359"/>
      <c r="H40" s="274" t="s">
        <v>552</v>
      </c>
      <c r="I40" s="367"/>
      <c r="J40" s="367"/>
      <c r="K40" s="367"/>
      <c r="L40" s="367"/>
      <c r="M40" s="287"/>
      <c r="N40" s="288"/>
      <c r="O40" s="288"/>
      <c r="P40" s="288"/>
      <c r="Q40" s="288"/>
      <c r="R40" s="288"/>
      <c r="S40" s="288"/>
      <c r="T40" s="288"/>
      <c r="U40" s="288"/>
      <c r="V40" s="288"/>
      <c r="Y40" s="12"/>
      <c r="AA40" s="379"/>
      <c r="AB40" s="379"/>
      <c r="AC40" s="379"/>
      <c r="AE40" s="402" t="s">
        <v>194</v>
      </c>
      <c r="AF40" s="403" t="s">
        <v>663</v>
      </c>
      <c r="AG40" s="404" t="s">
        <v>194</v>
      </c>
    </row>
    <row r="41" spans="1:34" s="1" customFormat="1" ht="18.75" customHeight="1">
      <c r="B41" s="358"/>
      <c r="C41" s="21"/>
      <c r="D41" s="21"/>
      <c r="E41" s="21"/>
      <c r="F41" s="359"/>
      <c r="H41" s="274" t="s">
        <v>553</v>
      </c>
      <c r="I41" s="367"/>
      <c r="J41" s="367"/>
      <c r="K41" s="367"/>
      <c r="L41" s="367"/>
      <c r="M41" s="287"/>
      <c r="N41" s="288"/>
      <c r="O41" s="288"/>
      <c r="P41" s="288"/>
      <c r="Q41" s="288"/>
      <c r="R41" s="288"/>
      <c r="S41" s="288"/>
      <c r="T41" s="288"/>
      <c r="U41" s="288"/>
      <c r="V41" s="288"/>
      <c r="Y41" s="12"/>
      <c r="AA41" s="379"/>
      <c r="AB41" s="379"/>
      <c r="AC41" s="379"/>
      <c r="AE41" s="402" t="s">
        <v>194</v>
      </c>
      <c r="AF41" s="403" t="s">
        <v>663</v>
      </c>
      <c r="AG41" s="404" t="s">
        <v>194</v>
      </c>
    </row>
    <row r="42" spans="1:34" s="1" customFormat="1" ht="18.75" customHeight="1">
      <c r="B42" s="355"/>
      <c r="C42" s="356"/>
      <c r="D42" s="356"/>
      <c r="E42" s="356"/>
      <c r="F42" s="357"/>
      <c r="G42" s="8"/>
      <c r="H42" s="290"/>
      <c r="I42" s="368"/>
      <c r="J42" s="368"/>
      <c r="K42" s="368"/>
      <c r="L42" s="368"/>
      <c r="M42" s="291"/>
      <c r="N42" s="292"/>
      <c r="O42" s="292"/>
      <c r="P42" s="292"/>
      <c r="Q42" s="292"/>
      <c r="R42" s="292"/>
      <c r="S42" s="292"/>
      <c r="T42" s="292"/>
      <c r="U42" s="292"/>
      <c r="V42" s="292"/>
      <c r="W42" s="8"/>
      <c r="X42" s="8"/>
      <c r="Y42" s="387"/>
      <c r="Z42" s="8"/>
      <c r="AA42" s="278"/>
      <c r="AB42" s="278"/>
      <c r="AC42" s="278"/>
      <c r="AD42" s="8"/>
      <c r="AE42" s="293"/>
      <c r="AF42" s="368"/>
      <c r="AG42" s="280"/>
    </row>
    <row r="43" spans="1:34" s="1" customFormat="1" ht="33" customHeight="1">
      <c r="B43" s="921" t="s">
        <v>554</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21"/>
    </row>
    <row r="44" spans="1:34" s="1" customFormat="1" ht="47.25" customHeight="1">
      <c r="B44" s="921" t="s">
        <v>555</v>
      </c>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row>
    <row r="45" spans="1:34" s="1" customFormat="1" ht="27" customHeight="1">
      <c r="B45" s="1028" t="s">
        <v>556</v>
      </c>
      <c r="C45" s="1028"/>
      <c r="D45" s="1028"/>
      <c r="E45" s="1028"/>
      <c r="F45" s="1028"/>
      <c r="G45" s="1028"/>
      <c r="H45" s="1028"/>
      <c r="I45" s="1028"/>
      <c r="J45" s="1028"/>
      <c r="K45" s="1028"/>
      <c r="L45" s="1028"/>
      <c r="M45" s="1028"/>
      <c r="N45" s="1028"/>
      <c r="O45" s="1028"/>
      <c r="P45" s="1028"/>
      <c r="Q45" s="1028"/>
      <c r="R45" s="1028"/>
      <c r="S45" s="1028"/>
      <c r="T45" s="1028"/>
      <c r="U45" s="1028"/>
      <c r="V45" s="1028"/>
      <c r="W45" s="1028"/>
      <c r="X45" s="1028"/>
      <c r="Y45" s="1028"/>
      <c r="Z45" s="1028"/>
      <c r="AA45" s="1028"/>
      <c r="AB45" s="1028"/>
      <c r="AC45" s="1028"/>
      <c r="AD45" s="1028"/>
      <c r="AE45" s="1028"/>
      <c r="AF45" s="1028"/>
      <c r="AG45" s="1028"/>
      <c r="AH45" s="1028"/>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xr:uid="{9C6706E3-3D14-4EE2-9ED4-ED07BC51BD3B}">
      <formula1>"□,■"</formula1>
    </dataValidation>
  </dataValidations>
  <printOptions horizontalCentered="1"/>
  <pageMargins left="0.70866141732283472" right="0.39370078740157483" top="0.51181102362204722" bottom="0.35433070866141736" header="0.31496062992125984" footer="0.31496062992125984"/>
  <pageSetup paperSize="9" scale="7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0D5F-D11F-45A2-89B3-E97AD2D20C16}">
  <sheetPr>
    <tabColor rgb="FFFFFF00"/>
    <pageSetUpPr fitToPage="1"/>
  </sheetPr>
  <dimension ref="A2:Y122"/>
  <sheetViews>
    <sheetView view="pageBreakPreview" zoomScaleNormal="100" zoomScaleSheetLayoutView="100" workbookViewId="0"/>
  </sheetViews>
  <sheetFormatPr defaultColWidth="3.44140625" defaultRowHeight="13.2"/>
  <cols>
    <col min="1" max="1" width="2.33203125" style="3" customWidth="1"/>
    <col min="2" max="2" width="3" style="384" customWidth="1"/>
    <col min="3" max="7" width="3.44140625" style="3"/>
    <col min="8" max="24" width="4.44140625" style="3" customWidth="1"/>
    <col min="25" max="25" width="5.109375" style="3" customWidth="1"/>
    <col min="26" max="16384" width="3.44140625" style="3"/>
  </cols>
  <sheetData>
    <row r="2" spans="2:25">
      <c r="B2" s="3" t="s">
        <v>862</v>
      </c>
    </row>
    <row r="4" spans="2:25">
      <c r="B4" s="1260" t="s">
        <v>573</v>
      </c>
      <c r="C4" s="1260"/>
      <c r="D4" s="1260"/>
      <c r="E4" s="1260"/>
      <c r="F4" s="1260"/>
      <c r="G4" s="1260"/>
      <c r="H4" s="1260"/>
      <c r="I4" s="1260"/>
      <c r="J4" s="1260"/>
      <c r="K4" s="1260"/>
      <c r="L4" s="1260"/>
      <c r="M4" s="1260"/>
      <c r="N4" s="1260"/>
      <c r="O4" s="1260"/>
      <c r="P4" s="1260"/>
      <c r="Q4" s="1260"/>
      <c r="R4" s="1260"/>
      <c r="S4" s="1260"/>
      <c r="T4" s="1260"/>
      <c r="U4" s="1260"/>
      <c r="V4" s="1260"/>
      <c r="W4" s="1260"/>
      <c r="X4" s="1260"/>
      <c r="Y4" s="1260"/>
    </row>
    <row r="6" spans="2:25" ht="30" customHeight="1">
      <c r="B6" s="346">
        <v>1</v>
      </c>
      <c r="C6" s="364" t="s">
        <v>112</v>
      </c>
      <c r="D6" s="16"/>
      <c r="E6" s="16"/>
      <c r="F6" s="16"/>
      <c r="G6" s="17"/>
      <c r="H6" s="1162"/>
      <c r="I6" s="1163"/>
      <c r="J6" s="1163"/>
      <c r="K6" s="1163"/>
      <c r="L6" s="1163"/>
      <c r="M6" s="1163"/>
      <c r="N6" s="1163"/>
      <c r="O6" s="1163"/>
      <c r="P6" s="1163"/>
      <c r="Q6" s="1163"/>
      <c r="R6" s="1163"/>
      <c r="S6" s="1163"/>
      <c r="T6" s="1163"/>
      <c r="U6" s="1163"/>
      <c r="V6" s="1163"/>
      <c r="W6" s="1163"/>
      <c r="X6" s="1163"/>
      <c r="Y6" s="1164"/>
    </row>
    <row r="7" spans="2:25" ht="30" customHeight="1">
      <c r="B7" s="346">
        <v>2</v>
      </c>
      <c r="C7" s="364" t="s">
        <v>65</v>
      </c>
      <c r="D7" s="364"/>
      <c r="E7" s="364"/>
      <c r="F7" s="364"/>
      <c r="G7" s="365"/>
      <c r="H7" s="410" t="s">
        <v>194</v>
      </c>
      <c r="I7" s="364" t="s">
        <v>840</v>
      </c>
      <c r="J7" s="364"/>
      <c r="K7" s="364"/>
      <c r="L7" s="364"/>
      <c r="M7" s="398" t="s">
        <v>194</v>
      </c>
      <c r="N7" s="364" t="s">
        <v>841</v>
      </c>
      <c r="O7" s="364"/>
      <c r="P7" s="364"/>
      <c r="Q7" s="364"/>
      <c r="R7" s="398" t="s">
        <v>194</v>
      </c>
      <c r="S7" s="364" t="s">
        <v>842</v>
      </c>
      <c r="T7" s="364"/>
      <c r="U7" s="364"/>
      <c r="V7" s="364"/>
      <c r="W7" s="364"/>
      <c r="X7" s="364"/>
      <c r="Y7" s="365"/>
    </row>
    <row r="8" spans="2:25" ht="30" customHeight="1">
      <c r="B8" s="362">
        <v>3</v>
      </c>
      <c r="C8" s="2" t="s">
        <v>66</v>
      </c>
      <c r="D8" s="2"/>
      <c r="E8" s="2"/>
      <c r="F8" s="2"/>
      <c r="G8" s="385"/>
      <c r="H8" s="403" t="s">
        <v>194</v>
      </c>
      <c r="I8" s="1" t="s">
        <v>863</v>
      </c>
      <c r="J8" s="2"/>
      <c r="K8" s="2"/>
      <c r="L8" s="2"/>
      <c r="M8" s="2"/>
      <c r="N8" s="2"/>
      <c r="O8" s="2"/>
      <c r="P8" s="403" t="s">
        <v>194</v>
      </c>
      <c r="Q8" s="1" t="s">
        <v>864</v>
      </c>
      <c r="R8" s="2"/>
      <c r="S8" s="2"/>
      <c r="T8" s="2"/>
      <c r="U8" s="2"/>
      <c r="V8" s="2"/>
      <c r="W8" s="2"/>
      <c r="X8" s="2"/>
      <c r="Y8" s="385"/>
    </row>
    <row r="9" spans="2:25" ht="30" customHeight="1">
      <c r="B9" s="362"/>
      <c r="C9" s="2"/>
      <c r="D9" s="2"/>
      <c r="E9" s="2"/>
      <c r="F9" s="2"/>
      <c r="G9" s="385"/>
      <c r="H9" s="403" t="s">
        <v>194</v>
      </c>
      <c r="I9" s="1" t="s">
        <v>865</v>
      </c>
      <c r="J9" s="426"/>
      <c r="K9" s="426"/>
      <c r="L9" s="426"/>
      <c r="M9" s="426"/>
      <c r="N9" s="2"/>
      <c r="O9" s="2"/>
      <c r="P9" s="403" t="s">
        <v>194</v>
      </c>
      <c r="Q9" s="1" t="s">
        <v>866</v>
      </c>
      <c r="R9" s="2"/>
      <c r="S9" s="2"/>
      <c r="T9" s="2"/>
      <c r="U9" s="2"/>
      <c r="V9" s="2"/>
      <c r="W9" s="2"/>
      <c r="X9" s="2"/>
      <c r="Y9" s="385"/>
    </row>
    <row r="10" spans="2:25">
      <c r="B10" s="389"/>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c r="B11" s="427">
        <v>4</v>
      </c>
      <c r="C11" s="1261" t="s">
        <v>574</v>
      </c>
      <c r="D11" s="1261"/>
      <c r="E11" s="1261"/>
      <c r="F11" s="1261"/>
      <c r="G11" s="1262"/>
      <c r="H11" s="338" t="s">
        <v>575</v>
      </c>
      <c r="I11" s="2"/>
      <c r="Y11" s="233"/>
    </row>
    <row r="12" spans="2:25" ht="19.5" customHeight="1">
      <c r="B12" s="243"/>
      <c r="G12" s="233"/>
      <c r="H12" s="300"/>
      <c r="I12" s="2" t="s">
        <v>576</v>
      </c>
      <c r="J12" s="2"/>
      <c r="K12" s="2"/>
      <c r="L12" s="2"/>
      <c r="M12" s="2"/>
      <c r="N12" s="2"/>
      <c r="O12" s="2"/>
      <c r="P12" s="2"/>
      <c r="Q12" s="2"/>
      <c r="R12" s="2"/>
      <c r="S12" s="2"/>
      <c r="T12" s="2"/>
      <c r="U12" s="2"/>
      <c r="Y12" s="233"/>
    </row>
    <row r="13" spans="2:25" ht="12" customHeight="1">
      <c r="B13" s="243"/>
      <c r="G13" s="233"/>
      <c r="H13" s="300"/>
      <c r="I13" s="1161" t="s">
        <v>67</v>
      </c>
      <c r="J13" s="1161"/>
      <c r="K13" s="1161"/>
      <c r="L13" s="1161"/>
      <c r="M13" s="1161"/>
      <c r="N13" s="1161"/>
      <c r="O13" s="1161"/>
      <c r="P13" s="1161"/>
      <c r="Q13" s="1038" t="s">
        <v>68</v>
      </c>
      <c r="R13" s="1039"/>
      <c r="S13" s="1039"/>
      <c r="T13" s="1039"/>
      <c r="U13" s="1039"/>
      <c r="V13" s="1039"/>
      <c r="W13" s="1040"/>
      <c r="Y13" s="233"/>
    </row>
    <row r="14" spans="2:25" ht="12" customHeight="1">
      <c r="B14" s="243"/>
      <c r="G14" s="233"/>
      <c r="H14" s="300"/>
      <c r="I14" s="1161"/>
      <c r="J14" s="1161"/>
      <c r="K14" s="1161"/>
      <c r="L14" s="1161"/>
      <c r="M14" s="1161"/>
      <c r="N14" s="1161"/>
      <c r="O14" s="1161"/>
      <c r="P14" s="1161"/>
      <c r="Q14" s="1158"/>
      <c r="R14" s="1159"/>
      <c r="S14" s="1159"/>
      <c r="T14" s="1159"/>
      <c r="U14" s="1159"/>
      <c r="V14" s="1159"/>
      <c r="W14" s="1160"/>
      <c r="Y14" s="233"/>
    </row>
    <row r="15" spans="2:25" ht="12" customHeight="1">
      <c r="B15" s="243"/>
      <c r="G15" s="233"/>
      <c r="H15" s="300"/>
      <c r="I15" s="1161" t="s">
        <v>72</v>
      </c>
      <c r="J15" s="1161"/>
      <c r="K15" s="1161"/>
      <c r="L15" s="1161"/>
      <c r="M15" s="1161"/>
      <c r="N15" s="1161"/>
      <c r="O15" s="1161"/>
      <c r="P15" s="1161"/>
      <c r="Q15" s="1178"/>
      <c r="R15" s="1179"/>
      <c r="S15" s="1179"/>
      <c r="T15" s="1179"/>
      <c r="U15" s="1179"/>
      <c r="V15" s="1179"/>
      <c r="W15" s="1180"/>
      <c r="Y15" s="233"/>
    </row>
    <row r="16" spans="2:25" ht="12" customHeight="1">
      <c r="B16" s="243"/>
      <c r="G16" s="233"/>
      <c r="H16" s="300"/>
      <c r="I16" s="1161"/>
      <c r="J16" s="1161"/>
      <c r="K16" s="1161"/>
      <c r="L16" s="1161"/>
      <c r="M16" s="1161"/>
      <c r="N16" s="1161"/>
      <c r="O16" s="1161"/>
      <c r="P16" s="1161"/>
      <c r="Q16" s="1184"/>
      <c r="R16" s="1185"/>
      <c r="S16" s="1185"/>
      <c r="T16" s="1185"/>
      <c r="U16" s="1185"/>
      <c r="V16" s="1185"/>
      <c r="W16" s="1186"/>
      <c r="Y16" s="233"/>
    </row>
    <row r="17" spans="2:25" ht="12" customHeight="1">
      <c r="B17" s="243"/>
      <c r="G17" s="233"/>
      <c r="H17" s="300"/>
      <c r="I17" s="1161" t="s">
        <v>124</v>
      </c>
      <c r="J17" s="1161"/>
      <c r="K17" s="1161"/>
      <c r="L17" s="1161"/>
      <c r="M17" s="1161"/>
      <c r="N17" s="1161"/>
      <c r="O17" s="1161"/>
      <c r="P17" s="1161"/>
      <c r="Q17" s="1178"/>
      <c r="R17" s="1179"/>
      <c r="S17" s="1179"/>
      <c r="T17" s="1179"/>
      <c r="U17" s="1179"/>
      <c r="V17" s="1179"/>
      <c r="W17" s="1180"/>
      <c r="Y17" s="233"/>
    </row>
    <row r="18" spans="2:25" ht="12" customHeight="1">
      <c r="B18" s="243"/>
      <c r="G18" s="233"/>
      <c r="H18" s="300"/>
      <c r="I18" s="1161"/>
      <c r="J18" s="1161"/>
      <c r="K18" s="1161"/>
      <c r="L18" s="1161"/>
      <c r="M18" s="1161"/>
      <c r="N18" s="1161"/>
      <c r="O18" s="1161"/>
      <c r="P18" s="1161"/>
      <c r="Q18" s="1184"/>
      <c r="R18" s="1185"/>
      <c r="S18" s="1185"/>
      <c r="T18" s="1185"/>
      <c r="U18" s="1185"/>
      <c r="V18" s="1185"/>
      <c r="W18" s="1186"/>
      <c r="Y18" s="233"/>
    </row>
    <row r="19" spans="2:25" ht="12" customHeight="1">
      <c r="B19" s="243"/>
      <c r="G19" s="233"/>
      <c r="H19" s="300"/>
      <c r="I19" s="1161" t="s">
        <v>69</v>
      </c>
      <c r="J19" s="1161"/>
      <c r="K19" s="1161"/>
      <c r="L19" s="1161"/>
      <c r="M19" s="1161"/>
      <c r="N19" s="1161"/>
      <c r="O19" s="1161"/>
      <c r="P19" s="1161"/>
      <c r="Q19" s="1178"/>
      <c r="R19" s="1179"/>
      <c r="S19" s="1179"/>
      <c r="T19" s="1179"/>
      <c r="U19" s="1179"/>
      <c r="V19" s="1179"/>
      <c r="W19" s="1180"/>
      <c r="Y19" s="233"/>
    </row>
    <row r="20" spans="2:25" ht="12" customHeight="1">
      <c r="B20" s="243"/>
      <c r="G20" s="233"/>
      <c r="H20" s="300"/>
      <c r="I20" s="1161"/>
      <c r="J20" s="1161"/>
      <c r="K20" s="1161"/>
      <c r="L20" s="1161"/>
      <c r="M20" s="1161"/>
      <c r="N20" s="1161"/>
      <c r="O20" s="1161"/>
      <c r="P20" s="1161"/>
      <c r="Q20" s="1184"/>
      <c r="R20" s="1185"/>
      <c r="S20" s="1185"/>
      <c r="T20" s="1185"/>
      <c r="U20" s="1185"/>
      <c r="V20" s="1185"/>
      <c r="W20" s="1186"/>
      <c r="Y20" s="233"/>
    </row>
    <row r="21" spans="2:25" ht="12" customHeight="1">
      <c r="B21" s="243"/>
      <c r="G21" s="233"/>
      <c r="H21" s="300"/>
      <c r="I21" s="1161" t="s">
        <v>71</v>
      </c>
      <c r="J21" s="1161"/>
      <c r="K21" s="1161"/>
      <c r="L21" s="1161"/>
      <c r="M21" s="1161"/>
      <c r="N21" s="1161"/>
      <c r="O21" s="1161"/>
      <c r="P21" s="1161"/>
      <c r="Q21" s="1178"/>
      <c r="R21" s="1179"/>
      <c r="S21" s="1179"/>
      <c r="T21" s="1179"/>
      <c r="U21" s="1179"/>
      <c r="V21" s="1179"/>
      <c r="W21" s="1180"/>
      <c r="Y21" s="233"/>
    </row>
    <row r="22" spans="2:25" ht="12" customHeight="1">
      <c r="B22" s="243"/>
      <c r="G22" s="233"/>
      <c r="H22" s="300"/>
      <c r="I22" s="1161"/>
      <c r="J22" s="1161"/>
      <c r="K22" s="1161"/>
      <c r="L22" s="1161"/>
      <c r="M22" s="1161"/>
      <c r="N22" s="1161"/>
      <c r="O22" s="1161"/>
      <c r="P22" s="1161"/>
      <c r="Q22" s="1184"/>
      <c r="R22" s="1185"/>
      <c r="S22" s="1185"/>
      <c r="T22" s="1185"/>
      <c r="U22" s="1185"/>
      <c r="V22" s="1185"/>
      <c r="W22" s="1186"/>
      <c r="Y22" s="233"/>
    </row>
    <row r="23" spans="2:25" ht="12" customHeight="1">
      <c r="B23" s="243"/>
      <c r="G23" s="233"/>
      <c r="H23" s="300"/>
      <c r="I23" s="1038" t="s">
        <v>70</v>
      </c>
      <c r="J23" s="1039"/>
      <c r="K23" s="1039"/>
      <c r="L23" s="1039"/>
      <c r="M23" s="1039"/>
      <c r="N23" s="1039"/>
      <c r="O23" s="1039"/>
      <c r="P23" s="1040"/>
      <c r="Q23" s="1178"/>
      <c r="R23" s="1179"/>
      <c r="S23" s="1179"/>
      <c r="T23" s="1179"/>
      <c r="U23" s="1179"/>
      <c r="V23" s="1179"/>
      <c r="W23" s="1180"/>
      <c r="Y23" s="233"/>
    </row>
    <row r="24" spans="2:25" ht="12" customHeight="1">
      <c r="B24" s="243"/>
      <c r="G24" s="233"/>
      <c r="H24" s="300"/>
      <c r="I24" s="1158"/>
      <c r="J24" s="1159"/>
      <c r="K24" s="1159"/>
      <c r="L24" s="1159"/>
      <c r="M24" s="1159"/>
      <c r="N24" s="1159"/>
      <c r="O24" s="1159"/>
      <c r="P24" s="1160"/>
      <c r="Q24" s="1184"/>
      <c r="R24" s="1185"/>
      <c r="S24" s="1185"/>
      <c r="T24" s="1185"/>
      <c r="U24" s="1185"/>
      <c r="V24" s="1185"/>
      <c r="W24" s="1186"/>
      <c r="Y24" s="233"/>
    </row>
    <row r="25" spans="2:25" ht="12" customHeight="1">
      <c r="B25" s="243"/>
      <c r="G25" s="233"/>
      <c r="H25" s="300"/>
      <c r="I25" s="1038"/>
      <c r="J25" s="1039"/>
      <c r="K25" s="1039"/>
      <c r="L25" s="1039"/>
      <c r="M25" s="1039"/>
      <c r="N25" s="1039"/>
      <c r="O25" s="1039"/>
      <c r="P25" s="1040"/>
      <c r="Q25" s="1178"/>
      <c r="R25" s="1179"/>
      <c r="S25" s="1179"/>
      <c r="T25" s="1179"/>
      <c r="U25" s="1179"/>
      <c r="V25" s="1179"/>
      <c r="W25" s="1180"/>
      <c r="Y25" s="233"/>
    </row>
    <row r="26" spans="2:25" ht="12" customHeight="1">
      <c r="B26" s="243"/>
      <c r="G26" s="233"/>
      <c r="H26" s="300"/>
      <c r="I26" s="1158"/>
      <c r="J26" s="1159"/>
      <c r="K26" s="1159"/>
      <c r="L26" s="1159"/>
      <c r="M26" s="1159"/>
      <c r="N26" s="1159"/>
      <c r="O26" s="1159"/>
      <c r="P26" s="1160"/>
      <c r="Q26" s="1184"/>
      <c r="R26" s="1185"/>
      <c r="S26" s="1185"/>
      <c r="T26" s="1185"/>
      <c r="U26" s="1185"/>
      <c r="V26" s="1185"/>
      <c r="W26" s="1186"/>
      <c r="Y26" s="233"/>
    </row>
    <row r="27" spans="2:25" ht="12" customHeight="1">
      <c r="B27" s="243"/>
      <c r="G27" s="233"/>
      <c r="H27" s="300"/>
      <c r="I27" s="1161"/>
      <c r="J27" s="1161"/>
      <c r="K27" s="1161"/>
      <c r="L27" s="1161"/>
      <c r="M27" s="1161"/>
      <c r="N27" s="1161"/>
      <c r="O27" s="1161"/>
      <c r="P27" s="1161"/>
      <c r="Q27" s="1178"/>
      <c r="R27" s="1179"/>
      <c r="S27" s="1179"/>
      <c r="T27" s="1179"/>
      <c r="U27" s="1179"/>
      <c r="V27" s="1179"/>
      <c r="W27" s="1180"/>
      <c r="Y27" s="233"/>
    </row>
    <row r="28" spans="2:25" s="383" customFormat="1" ht="12" customHeight="1">
      <c r="B28" s="243"/>
      <c r="C28" s="3"/>
      <c r="D28" s="3"/>
      <c r="E28" s="3"/>
      <c r="F28" s="3"/>
      <c r="G28" s="233"/>
      <c r="H28" s="340"/>
      <c r="I28" s="1161"/>
      <c r="J28" s="1161"/>
      <c r="K28" s="1161"/>
      <c r="L28" s="1161"/>
      <c r="M28" s="1161"/>
      <c r="N28" s="1161"/>
      <c r="O28" s="1161"/>
      <c r="P28" s="1161"/>
      <c r="Q28" s="1184"/>
      <c r="R28" s="1185"/>
      <c r="S28" s="1185"/>
      <c r="T28" s="1185"/>
      <c r="U28" s="1185"/>
      <c r="V28" s="1185"/>
      <c r="W28" s="1186"/>
      <c r="Y28" s="339"/>
    </row>
    <row r="29" spans="2:25" ht="15" customHeight="1">
      <c r="B29" s="243"/>
      <c r="G29" s="233"/>
      <c r="H29" s="300"/>
      <c r="I29" s="2"/>
      <c r="J29" s="2"/>
      <c r="K29" s="2"/>
      <c r="L29" s="2"/>
      <c r="M29" s="2"/>
      <c r="N29" s="2"/>
      <c r="O29" s="2"/>
      <c r="P29" s="2"/>
      <c r="Q29" s="2"/>
      <c r="R29" s="2"/>
      <c r="S29" s="2"/>
      <c r="T29" s="2"/>
      <c r="U29" s="2"/>
      <c r="Y29" s="337"/>
    </row>
    <row r="30" spans="2:25" ht="20.25" customHeight="1">
      <c r="B30" s="243"/>
      <c r="G30" s="233"/>
      <c r="H30" s="338" t="s">
        <v>577</v>
      </c>
      <c r="I30" s="2"/>
      <c r="J30" s="2"/>
      <c r="K30" s="2"/>
      <c r="L30" s="2"/>
      <c r="M30" s="2"/>
      <c r="N30" s="2"/>
      <c r="O30" s="2"/>
      <c r="P30" s="2"/>
      <c r="Q30" s="2"/>
      <c r="R30" s="2"/>
      <c r="S30" s="2"/>
      <c r="T30" s="2"/>
      <c r="U30" s="2"/>
      <c r="Y30" s="337"/>
    </row>
    <row r="31" spans="2:25" ht="9.75" customHeight="1">
      <c r="B31" s="243"/>
      <c r="G31" s="233"/>
      <c r="H31" s="338"/>
      <c r="I31" s="2"/>
      <c r="J31" s="2"/>
      <c r="K31" s="2"/>
      <c r="L31" s="2"/>
      <c r="M31" s="2"/>
      <c r="N31" s="2"/>
      <c r="O31" s="2"/>
      <c r="P31" s="2"/>
      <c r="Q31" s="2"/>
      <c r="R31" s="2"/>
      <c r="S31" s="2"/>
      <c r="T31" s="2"/>
      <c r="U31" s="2"/>
      <c r="Y31" s="337"/>
    </row>
    <row r="32" spans="2:25" ht="22.5" customHeight="1">
      <c r="B32" s="243"/>
      <c r="G32" s="233"/>
      <c r="H32" s="300"/>
      <c r="I32" s="914" t="s">
        <v>578</v>
      </c>
      <c r="J32" s="915"/>
      <c r="K32" s="915"/>
      <c r="L32" s="915"/>
      <c r="M32" s="915"/>
      <c r="N32" s="915"/>
      <c r="O32" s="915"/>
      <c r="P32" s="915"/>
      <c r="Q32" s="915"/>
      <c r="R32" s="925"/>
      <c r="S32" s="1038"/>
      <c r="T32" s="1039"/>
      <c r="U32" s="1040" t="s">
        <v>97</v>
      </c>
      <c r="Y32" s="233"/>
    </row>
    <row r="33" spans="1:25" ht="22.5" customHeight="1">
      <c r="B33" s="243"/>
      <c r="G33" s="233"/>
      <c r="H33" s="300"/>
      <c r="I33" s="927"/>
      <c r="J33" s="928"/>
      <c r="K33" s="928"/>
      <c r="L33" s="928"/>
      <c r="M33" s="928"/>
      <c r="N33" s="928"/>
      <c r="O33" s="928"/>
      <c r="P33" s="928"/>
      <c r="Q33" s="928"/>
      <c r="R33" s="929"/>
      <c r="S33" s="1158"/>
      <c r="T33" s="1159"/>
      <c r="U33" s="1160"/>
      <c r="Y33" s="233"/>
    </row>
    <row r="34" spans="1:25" ht="11.25" customHeight="1">
      <c r="B34" s="243"/>
      <c r="G34" s="233"/>
      <c r="H34" s="338"/>
      <c r="I34" s="2"/>
      <c r="J34" s="2"/>
      <c r="K34" s="2"/>
      <c r="L34" s="2"/>
      <c r="M34" s="2"/>
      <c r="N34" s="2"/>
      <c r="O34" s="2"/>
      <c r="P34" s="2"/>
      <c r="Q34" s="2"/>
      <c r="R34" s="2"/>
      <c r="S34" s="2"/>
      <c r="T34" s="2"/>
      <c r="U34" s="2"/>
      <c r="Y34" s="337"/>
    </row>
    <row r="35" spans="1:25" ht="27.75" customHeight="1">
      <c r="B35" s="243"/>
      <c r="G35" s="233"/>
      <c r="H35" s="300"/>
      <c r="I35" s="914" t="s">
        <v>579</v>
      </c>
      <c r="J35" s="915"/>
      <c r="K35" s="915"/>
      <c r="L35" s="915"/>
      <c r="M35" s="915"/>
      <c r="N35" s="915"/>
      <c r="O35" s="915"/>
      <c r="P35" s="915"/>
      <c r="Q35" s="915"/>
      <c r="R35" s="925"/>
      <c r="S35" s="1038"/>
      <c r="T35" s="1039"/>
      <c r="U35" s="1040" t="s">
        <v>97</v>
      </c>
      <c r="V35" s="1041" t="s">
        <v>141</v>
      </c>
      <c r="W35" s="1172" t="s">
        <v>580</v>
      </c>
      <c r="X35" s="1172"/>
      <c r="Y35" s="1263"/>
    </row>
    <row r="36" spans="1:25" ht="21.75" customHeight="1">
      <c r="B36" s="243"/>
      <c r="G36" s="233"/>
      <c r="H36" s="300"/>
      <c r="I36" s="927"/>
      <c r="J36" s="928"/>
      <c r="K36" s="928"/>
      <c r="L36" s="928"/>
      <c r="M36" s="928"/>
      <c r="N36" s="928"/>
      <c r="O36" s="928"/>
      <c r="P36" s="928"/>
      <c r="Q36" s="928"/>
      <c r="R36" s="929"/>
      <c r="S36" s="1158"/>
      <c r="T36" s="1159"/>
      <c r="U36" s="1160"/>
      <c r="V36" s="1041"/>
      <c r="W36" s="1172"/>
      <c r="X36" s="1172"/>
      <c r="Y36" s="1263"/>
    </row>
    <row r="37" spans="1:25" ht="21.75" customHeight="1">
      <c r="B37" s="243"/>
      <c r="G37" s="233"/>
      <c r="I37" s="356"/>
      <c r="J37" s="356"/>
      <c r="K37" s="356"/>
      <c r="L37" s="356"/>
      <c r="M37" s="356"/>
      <c r="N37" s="356"/>
      <c r="O37" s="356"/>
      <c r="P37" s="356"/>
      <c r="Q37" s="356"/>
      <c r="R37" s="356"/>
      <c r="S37" s="428"/>
      <c r="T37" s="428"/>
      <c r="U37" s="428"/>
      <c r="V37" s="12"/>
      <c r="W37" s="928" t="s">
        <v>581</v>
      </c>
      <c r="X37" s="928"/>
      <c r="Y37" s="929"/>
    </row>
    <row r="38" spans="1:25" ht="21.75" customHeight="1">
      <c r="A38" s="233"/>
      <c r="H38" s="429"/>
      <c r="I38" s="921" t="s">
        <v>582</v>
      </c>
      <c r="J38" s="921"/>
      <c r="K38" s="921"/>
      <c r="L38" s="921"/>
      <c r="M38" s="921"/>
      <c r="N38" s="921"/>
      <c r="O38" s="921"/>
      <c r="P38" s="921"/>
      <c r="Q38" s="921"/>
      <c r="R38" s="926"/>
      <c r="S38" s="1041"/>
      <c r="T38" s="899"/>
      <c r="U38" s="1042" t="s">
        <v>97</v>
      </c>
      <c r="V38" s="12"/>
      <c r="W38" s="921"/>
      <c r="X38" s="921"/>
      <c r="Y38" s="926"/>
    </row>
    <row r="39" spans="1:25" ht="21.75" customHeight="1">
      <c r="B39" s="243"/>
      <c r="G39" s="233"/>
      <c r="H39" s="300"/>
      <c r="I39" s="927"/>
      <c r="J39" s="928"/>
      <c r="K39" s="928"/>
      <c r="L39" s="928"/>
      <c r="M39" s="928"/>
      <c r="N39" s="928"/>
      <c r="O39" s="928"/>
      <c r="P39" s="928"/>
      <c r="Q39" s="928"/>
      <c r="R39" s="929"/>
      <c r="S39" s="1158"/>
      <c r="T39" s="1159"/>
      <c r="U39" s="1160"/>
      <c r="V39" s="12"/>
      <c r="W39" s="921"/>
      <c r="X39" s="921"/>
      <c r="Y39" s="926"/>
    </row>
    <row r="40" spans="1:25" ht="15" customHeight="1">
      <c r="B40" s="243"/>
      <c r="G40" s="233"/>
      <c r="H40" s="300"/>
      <c r="I40" s="2"/>
      <c r="J40" s="2"/>
      <c r="K40" s="2"/>
      <c r="L40" s="2"/>
      <c r="M40" s="2"/>
      <c r="N40" s="2"/>
      <c r="O40" s="2"/>
      <c r="P40" s="2"/>
      <c r="Q40" s="2"/>
      <c r="R40" s="2"/>
      <c r="S40" s="2"/>
      <c r="T40" s="2"/>
      <c r="U40" s="2"/>
      <c r="W40" s="921"/>
      <c r="X40" s="921"/>
      <c r="Y40" s="926"/>
    </row>
    <row r="41" spans="1:25" ht="15" customHeight="1">
      <c r="B41" s="388"/>
      <c r="C41" s="59"/>
      <c r="D41" s="59"/>
      <c r="E41" s="59"/>
      <c r="F41" s="59"/>
      <c r="G41" s="60"/>
      <c r="H41" s="299"/>
      <c r="I41" s="59"/>
      <c r="J41" s="59"/>
      <c r="K41" s="59"/>
      <c r="L41" s="59"/>
      <c r="M41" s="59"/>
      <c r="N41" s="59"/>
      <c r="O41" s="59"/>
      <c r="P41" s="59"/>
      <c r="Q41" s="59"/>
      <c r="R41" s="59"/>
      <c r="S41" s="59"/>
      <c r="T41" s="59"/>
      <c r="U41" s="59"/>
      <c r="V41" s="59"/>
      <c r="W41" s="928"/>
      <c r="X41" s="928"/>
      <c r="Y41" s="929"/>
    </row>
    <row r="42" spans="1:25" ht="15" customHeight="1">
      <c r="Y42" s="336"/>
    </row>
    <row r="43" spans="1:25">
      <c r="B43" s="430" t="s">
        <v>583</v>
      </c>
      <c r="D43" s="382"/>
      <c r="E43" s="382"/>
      <c r="F43" s="382"/>
      <c r="G43" s="382"/>
      <c r="H43" s="382"/>
      <c r="I43" s="382"/>
      <c r="J43" s="382"/>
      <c r="K43" s="382"/>
      <c r="L43" s="382"/>
      <c r="M43" s="382"/>
      <c r="N43" s="382"/>
      <c r="O43" s="382"/>
      <c r="P43" s="382"/>
      <c r="Q43" s="382"/>
      <c r="R43" s="382"/>
      <c r="S43" s="382"/>
      <c r="T43" s="382"/>
      <c r="U43" s="382"/>
      <c r="V43" s="382"/>
      <c r="W43" s="382"/>
      <c r="X43" s="382"/>
      <c r="Y43" s="382"/>
    </row>
    <row r="44" spans="1:25">
      <c r="B44" s="430" t="s">
        <v>584</v>
      </c>
      <c r="D44" s="382"/>
      <c r="E44" s="382"/>
      <c r="F44" s="382"/>
      <c r="G44" s="382"/>
      <c r="H44" s="382"/>
      <c r="I44" s="382"/>
      <c r="J44" s="382"/>
      <c r="K44" s="382"/>
      <c r="L44" s="382"/>
      <c r="M44" s="382"/>
      <c r="N44" s="382"/>
      <c r="O44" s="382"/>
      <c r="P44" s="382"/>
      <c r="Q44" s="382"/>
      <c r="R44" s="382"/>
      <c r="S44" s="382"/>
      <c r="T44" s="382"/>
      <c r="U44" s="382"/>
      <c r="V44" s="382"/>
      <c r="W44" s="382"/>
      <c r="X44" s="382"/>
      <c r="Y44" s="382"/>
    </row>
    <row r="45" spans="1:25">
      <c r="B45" s="430"/>
      <c r="D45" s="345"/>
      <c r="E45" s="345"/>
      <c r="F45" s="345"/>
      <c r="G45" s="345"/>
      <c r="H45" s="345"/>
      <c r="I45" s="345"/>
      <c r="J45" s="345"/>
      <c r="K45" s="345"/>
      <c r="L45" s="345"/>
      <c r="M45" s="345"/>
      <c r="N45" s="345"/>
      <c r="O45" s="345"/>
      <c r="P45" s="345"/>
      <c r="Q45" s="345"/>
      <c r="R45" s="345"/>
      <c r="S45" s="345"/>
      <c r="T45" s="345"/>
      <c r="U45" s="345"/>
      <c r="V45" s="345"/>
      <c r="W45" s="345"/>
      <c r="X45" s="345"/>
      <c r="Y45" s="345"/>
    </row>
    <row r="121" spans="3:7">
      <c r="C121" s="59"/>
      <c r="D121" s="59"/>
      <c r="E121" s="59"/>
      <c r="F121" s="59"/>
      <c r="G121" s="59"/>
    </row>
    <row r="122" spans="3:7">
      <c r="C122" s="57"/>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I15:P16"/>
    <mergeCell ref="Q15:W16"/>
    <mergeCell ref="B4:Y4"/>
    <mergeCell ref="H6:Y6"/>
    <mergeCell ref="C11:G11"/>
    <mergeCell ref="I13:P14"/>
    <mergeCell ref="Q13:W14"/>
  </mergeCells>
  <phoneticPr fontId="3"/>
  <dataValidations count="1">
    <dataValidation type="list" allowBlank="1" showInputMessage="1" showErrorMessage="1" sqref="M7 R7 P8:P9 H7:H9" xr:uid="{18EFA09A-3C82-41FC-B721-6ABA6B9AD953}">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3907C-8EFA-471E-A15B-77AA823C5D73}">
  <sheetPr>
    <tabColor rgb="FFFFFF00"/>
    <pageSetUpPr fitToPage="1"/>
  </sheetPr>
  <dimension ref="B1:Z123"/>
  <sheetViews>
    <sheetView view="pageBreakPreview" zoomScaleNormal="100" zoomScaleSheetLayoutView="100" workbookViewId="0"/>
  </sheetViews>
  <sheetFormatPr defaultColWidth="3.44140625" defaultRowHeight="13.2"/>
  <cols>
    <col min="1" max="1" width="1.77734375" style="3" customWidth="1"/>
    <col min="2" max="2" width="3" style="384"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row r="2" spans="2:26" s="1" customFormat="1">
      <c r="B2" s="1" t="s">
        <v>867</v>
      </c>
    </row>
    <row r="3" spans="2:26" s="1" customFormat="1"/>
    <row r="4" spans="2:26" s="1" customFormat="1">
      <c r="B4" s="899" t="s">
        <v>155</v>
      </c>
      <c r="C4" s="899"/>
      <c r="D4" s="899"/>
      <c r="E4" s="899"/>
      <c r="F4" s="899"/>
      <c r="G4" s="899"/>
      <c r="H4" s="899"/>
      <c r="I4" s="899"/>
      <c r="J4" s="899"/>
      <c r="K4" s="899"/>
      <c r="L4" s="899"/>
      <c r="M4" s="899"/>
      <c r="N4" s="899"/>
      <c r="O4" s="899"/>
      <c r="P4" s="899"/>
      <c r="Q4" s="899"/>
      <c r="R4" s="899"/>
      <c r="S4" s="899"/>
      <c r="T4" s="899"/>
      <c r="U4" s="899"/>
      <c r="V4" s="899"/>
      <c r="W4" s="899"/>
      <c r="X4" s="899"/>
      <c r="Y4" s="899"/>
      <c r="Z4" s="899"/>
    </row>
    <row r="5" spans="2:26" s="1" customFormat="1"/>
    <row r="6" spans="2:26" s="1" customFormat="1" ht="31.5" customHeight="1">
      <c r="B6" s="1161" t="s">
        <v>145</v>
      </c>
      <c r="C6" s="1161"/>
      <c r="D6" s="1161"/>
      <c r="E6" s="1161"/>
      <c r="F6" s="1161"/>
      <c r="G6" s="1162"/>
      <c r="H6" s="1163"/>
      <c r="I6" s="1163"/>
      <c r="J6" s="1163"/>
      <c r="K6" s="1163"/>
      <c r="L6" s="1163"/>
      <c r="M6" s="1163"/>
      <c r="N6" s="1163"/>
      <c r="O6" s="1163"/>
      <c r="P6" s="1163"/>
      <c r="Q6" s="1163"/>
      <c r="R6" s="1163"/>
      <c r="S6" s="1163"/>
      <c r="T6" s="1163"/>
      <c r="U6" s="1163"/>
      <c r="V6" s="1163"/>
      <c r="W6" s="1163"/>
      <c r="X6" s="1163"/>
      <c r="Y6" s="1163"/>
      <c r="Z6" s="1164"/>
    </row>
    <row r="7" spans="2:26" s="1" customFormat="1" ht="31.5" customHeight="1">
      <c r="B7" s="904" t="s">
        <v>63</v>
      </c>
      <c r="C7" s="905"/>
      <c r="D7" s="905"/>
      <c r="E7" s="905"/>
      <c r="F7" s="906"/>
      <c r="G7" s="410" t="s">
        <v>194</v>
      </c>
      <c r="H7" s="364" t="s">
        <v>840</v>
      </c>
      <c r="I7" s="364"/>
      <c r="J7" s="364"/>
      <c r="K7" s="364"/>
      <c r="L7" s="398" t="s">
        <v>194</v>
      </c>
      <c r="M7" s="364" t="s">
        <v>841</v>
      </c>
      <c r="N7" s="364"/>
      <c r="O7" s="364"/>
      <c r="P7" s="364"/>
      <c r="Q7" s="398" t="s">
        <v>194</v>
      </c>
      <c r="R7" s="364" t="s">
        <v>842</v>
      </c>
      <c r="S7" s="364"/>
      <c r="T7" s="364"/>
      <c r="U7" s="364"/>
      <c r="V7" s="364"/>
      <c r="W7" s="364"/>
      <c r="X7" s="364"/>
      <c r="Y7" s="364"/>
      <c r="Z7" s="365"/>
    </row>
    <row r="8" spans="2:26" s="1" customFormat="1" ht="31.5" customHeight="1">
      <c r="B8" s="904" t="s">
        <v>94</v>
      </c>
      <c r="C8" s="905"/>
      <c r="D8" s="905"/>
      <c r="E8" s="905"/>
      <c r="F8" s="906"/>
      <c r="G8" s="410" t="s">
        <v>194</v>
      </c>
      <c r="H8" s="364" t="s">
        <v>843</v>
      </c>
      <c r="I8" s="364"/>
      <c r="J8" s="364"/>
      <c r="K8" s="364"/>
      <c r="L8" s="364"/>
      <c r="M8" s="364"/>
      <c r="N8" s="364"/>
      <c r="O8" s="364"/>
      <c r="P8" s="364"/>
      <c r="Q8" s="398" t="s">
        <v>194</v>
      </c>
      <c r="R8" s="364" t="s">
        <v>844</v>
      </c>
      <c r="S8" s="364"/>
      <c r="T8" s="364"/>
      <c r="U8" s="364"/>
      <c r="V8" s="364"/>
      <c r="W8" s="297"/>
      <c r="X8" s="297"/>
      <c r="Y8" s="297"/>
      <c r="Z8" s="343"/>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241" t="s">
        <v>156</v>
      </c>
      <c r="Z11" s="242"/>
    </row>
    <row r="12" spans="2:26" s="1" customFormat="1">
      <c r="B12" s="241"/>
      <c r="L12" s="12"/>
      <c r="Q12" s="12"/>
      <c r="V12" s="12"/>
      <c r="Z12" s="242"/>
    </row>
    <row r="13" spans="2:26" s="1" customFormat="1">
      <c r="B13" s="241"/>
      <c r="C13" s="1" t="s">
        <v>157</v>
      </c>
      <c r="Z13" s="242"/>
    </row>
    <row r="14" spans="2:26" s="1" customFormat="1" ht="4.5" customHeight="1">
      <c r="B14" s="241"/>
      <c r="Z14" s="242"/>
    </row>
    <row r="15" spans="2:26" s="1" customFormat="1" ht="24" customHeight="1">
      <c r="B15" s="241"/>
      <c r="C15" s="1162"/>
      <c r="D15" s="1163"/>
      <c r="E15" s="1163"/>
      <c r="F15" s="1163"/>
      <c r="G15" s="1163"/>
      <c r="H15" s="1163"/>
      <c r="I15" s="1163"/>
      <c r="J15" s="1163"/>
      <c r="K15" s="1163"/>
      <c r="L15" s="1163"/>
      <c r="M15" s="1163"/>
      <c r="N15" s="1163"/>
      <c r="O15" s="1163"/>
      <c r="P15" s="1163"/>
      <c r="Q15" s="1163"/>
      <c r="R15" s="1163"/>
      <c r="S15" s="1163"/>
      <c r="T15" s="1163"/>
      <c r="U15" s="1163"/>
      <c r="V15" s="1163"/>
      <c r="W15" s="1163"/>
      <c r="X15" s="1163"/>
      <c r="Y15" s="1164"/>
      <c r="Z15" s="363"/>
    </row>
    <row r="16" spans="2:26" s="1" customFormat="1" ht="21" customHeight="1">
      <c r="B16" s="241"/>
      <c r="C16" s="1162"/>
      <c r="D16" s="1163"/>
      <c r="E16" s="1163"/>
      <c r="F16" s="1163"/>
      <c r="G16" s="1163"/>
      <c r="H16" s="1163"/>
      <c r="I16" s="1163"/>
      <c r="J16" s="1163"/>
      <c r="K16" s="1163"/>
      <c r="L16" s="1163"/>
      <c r="M16" s="1163"/>
      <c r="N16" s="1163"/>
      <c r="O16" s="1163"/>
      <c r="P16" s="1163"/>
      <c r="Q16" s="1163"/>
      <c r="R16" s="1163"/>
      <c r="S16" s="1163"/>
      <c r="T16" s="1163"/>
      <c r="U16" s="1163"/>
      <c r="V16" s="1163"/>
      <c r="W16" s="1163"/>
      <c r="X16" s="1163"/>
      <c r="Y16" s="1164"/>
      <c r="Z16" s="242"/>
    </row>
    <row r="17" spans="2:26" s="1" customFormat="1" ht="21" customHeight="1">
      <c r="B17" s="241"/>
      <c r="C17" s="1162"/>
      <c r="D17" s="1163"/>
      <c r="E17" s="1163"/>
      <c r="F17" s="1163"/>
      <c r="G17" s="1163"/>
      <c r="H17" s="1163"/>
      <c r="I17" s="1163"/>
      <c r="J17" s="1163"/>
      <c r="K17" s="1163"/>
      <c r="L17" s="1163"/>
      <c r="M17" s="1163"/>
      <c r="N17" s="1163"/>
      <c r="O17" s="1163"/>
      <c r="P17" s="1163"/>
      <c r="Q17" s="1163"/>
      <c r="R17" s="1163"/>
      <c r="S17" s="1163"/>
      <c r="T17" s="1163"/>
      <c r="U17" s="1163"/>
      <c r="V17" s="1163"/>
      <c r="W17" s="1163"/>
      <c r="X17" s="1163"/>
      <c r="Y17" s="1164"/>
      <c r="Z17" s="242"/>
    </row>
    <row r="18" spans="2:26" s="1" customFormat="1">
      <c r="B18" s="241"/>
      <c r="C18" s="1" t="s">
        <v>158</v>
      </c>
      <c r="Z18" s="242"/>
    </row>
    <row r="19" spans="2:26" s="1" customFormat="1" ht="4.5" customHeight="1">
      <c r="B19" s="241"/>
      <c r="Z19" s="242"/>
    </row>
    <row r="20" spans="2:26" s="1" customFormat="1" ht="24" customHeight="1">
      <c r="B20" s="241"/>
      <c r="C20" s="1161" t="s">
        <v>159</v>
      </c>
      <c r="D20" s="1161"/>
      <c r="E20" s="1161"/>
      <c r="F20" s="1161"/>
      <c r="G20" s="1161"/>
      <c r="H20" s="1161"/>
      <c r="I20" s="1161"/>
      <c r="J20" s="1161"/>
      <c r="K20" s="1161"/>
      <c r="L20" s="1161"/>
      <c r="M20" s="1161"/>
      <c r="N20" s="1161"/>
      <c r="O20" s="1161"/>
      <c r="P20" s="1161"/>
      <c r="Q20" s="1161"/>
      <c r="R20" s="1161"/>
      <c r="S20" s="905" t="s">
        <v>160</v>
      </c>
      <c r="T20" s="905"/>
      <c r="U20" s="905"/>
      <c r="V20" s="905"/>
      <c r="W20" s="905"/>
      <c r="X20" s="905"/>
      <c r="Y20" s="906"/>
      <c r="Z20" s="363"/>
    </row>
    <row r="21" spans="2:26" s="1" customFormat="1" ht="21" customHeight="1">
      <c r="B21" s="241"/>
      <c r="C21" s="904"/>
      <c r="D21" s="905"/>
      <c r="E21" s="905"/>
      <c r="F21" s="905"/>
      <c r="G21" s="905"/>
      <c r="H21" s="905"/>
      <c r="I21" s="905"/>
      <c r="J21" s="905"/>
      <c r="K21" s="905"/>
      <c r="L21" s="905"/>
      <c r="M21" s="905"/>
      <c r="N21" s="905"/>
      <c r="O21" s="905"/>
      <c r="P21" s="905"/>
      <c r="Q21" s="905"/>
      <c r="R21" s="906"/>
      <c r="S21" s="366"/>
      <c r="T21" s="366"/>
      <c r="U21" s="366"/>
      <c r="V21" s="366"/>
      <c r="W21" s="366"/>
      <c r="X21" s="366"/>
      <c r="Y21" s="366"/>
      <c r="Z21" s="242"/>
    </row>
    <row r="22" spans="2:26" s="1" customFormat="1" ht="12" customHeight="1">
      <c r="B22" s="241"/>
      <c r="C22" s="361"/>
      <c r="D22" s="361"/>
      <c r="E22" s="361"/>
      <c r="F22" s="361"/>
      <c r="G22" s="361"/>
      <c r="H22" s="361"/>
      <c r="I22" s="361"/>
      <c r="J22" s="361"/>
      <c r="K22" s="361"/>
      <c r="L22" s="361"/>
      <c r="M22" s="361"/>
      <c r="N22" s="361"/>
      <c r="O22" s="361"/>
      <c r="P22" s="7"/>
      <c r="Q22" s="7"/>
      <c r="R22" s="7"/>
      <c r="S22" s="7"/>
      <c r="T22" s="8"/>
      <c r="U22" s="8"/>
      <c r="V22" s="8"/>
      <c r="W22" s="8"/>
      <c r="X22" s="8"/>
      <c r="Y22" s="8"/>
      <c r="Z22" s="242"/>
    </row>
    <row r="23" spans="2:26" s="1" customFormat="1" ht="21" customHeight="1">
      <c r="B23" s="241"/>
      <c r="C23" s="387"/>
      <c r="D23" s="387"/>
      <c r="E23" s="387"/>
      <c r="F23" s="387"/>
      <c r="G23" s="387"/>
      <c r="H23" s="387"/>
      <c r="I23" s="387"/>
      <c r="J23" s="387"/>
      <c r="K23" s="387"/>
      <c r="L23" s="387"/>
      <c r="M23" s="387"/>
      <c r="N23" s="387"/>
      <c r="O23" s="387"/>
      <c r="P23" s="8"/>
      <c r="Q23" s="8"/>
      <c r="R23" s="8"/>
      <c r="S23" s="8"/>
      <c r="T23" s="1264" t="s">
        <v>662</v>
      </c>
      <c r="U23" s="1265"/>
      <c r="V23" s="1265" t="s">
        <v>663</v>
      </c>
      <c r="W23" s="1265"/>
      <c r="X23" s="1265" t="s">
        <v>664</v>
      </c>
      <c r="Y23" s="1266"/>
      <c r="Z23" s="242"/>
    </row>
    <row r="24" spans="2:26" s="1" customFormat="1" ht="26.25" customHeight="1">
      <c r="B24" s="241"/>
      <c r="C24" s="933" t="s">
        <v>161</v>
      </c>
      <c r="D24" s="934"/>
      <c r="E24" s="934"/>
      <c r="F24" s="934"/>
      <c r="G24" s="934"/>
      <c r="H24" s="934"/>
      <c r="I24" s="934"/>
      <c r="J24" s="934"/>
      <c r="K24" s="934"/>
      <c r="L24" s="934"/>
      <c r="M24" s="934"/>
      <c r="N24" s="934"/>
      <c r="O24" s="934"/>
      <c r="P24" s="934"/>
      <c r="Q24" s="934"/>
      <c r="R24" s="934"/>
      <c r="S24" s="935"/>
      <c r="T24" s="904" t="s">
        <v>194</v>
      </c>
      <c r="U24" s="905"/>
      <c r="V24" s="1265" t="s">
        <v>663</v>
      </c>
      <c r="W24" s="1265"/>
      <c r="X24" s="905" t="s">
        <v>194</v>
      </c>
      <c r="Y24" s="906"/>
      <c r="Z24" s="242"/>
    </row>
    <row r="25" spans="2:26" s="1" customFormat="1" ht="58.5" customHeight="1">
      <c r="B25" s="241"/>
      <c r="C25" s="1267" t="s">
        <v>162</v>
      </c>
      <c r="D25" s="1268"/>
      <c r="E25" s="1268"/>
      <c r="F25" s="1268"/>
      <c r="G25" s="1268"/>
      <c r="H25" s="1268"/>
      <c r="I25" s="1268"/>
      <c r="J25" s="1268"/>
      <c r="K25" s="1268"/>
      <c r="L25" s="1268"/>
      <c r="M25" s="1268"/>
      <c r="N25" s="1268"/>
      <c r="O25" s="1268"/>
      <c r="P25" s="1268"/>
      <c r="Q25" s="1268"/>
      <c r="R25" s="1268"/>
      <c r="S25" s="1269"/>
      <c r="T25" s="904" t="s">
        <v>194</v>
      </c>
      <c r="U25" s="905"/>
      <c r="V25" s="1265" t="s">
        <v>663</v>
      </c>
      <c r="W25" s="1265"/>
      <c r="X25" s="905" t="s">
        <v>194</v>
      </c>
      <c r="Y25" s="906"/>
      <c r="Z25" s="242"/>
    </row>
    <row r="26" spans="2:26" s="1" customFormat="1" ht="46.5" customHeight="1">
      <c r="B26" s="241"/>
      <c r="C26" s="933" t="s">
        <v>163</v>
      </c>
      <c r="D26" s="934"/>
      <c r="E26" s="934"/>
      <c r="F26" s="934"/>
      <c r="G26" s="934"/>
      <c r="H26" s="934"/>
      <c r="I26" s="934"/>
      <c r="J26" s="934"/>
      <c r="K26" s="934"/>
      <c r="L26" s="934"/>
      <c r="M26" s="934"/>
      <c r="N26" s="934"/>
      <c r="O26" s="934"/>
      <c r="P26" s="934"/>
      <c r="Q26" s="934"/>
      <c r="R26" s="934"/>
      <c r="S26" s="935"/>
      <c r="T26" s="904" t="s">
        <v>194</v>
      </c>
      <c r="U26" s="905"/>
      <c r="V26" s="1265" t="s">
        <v>663</v>
      </c>
      <c r="W26" s="1265"/>
      <c r="X26" s="905" t="s">
        <v>194</v>
      </c>
      <c r="Y26" s="906"/>
      <c r="Z26" s="242"/>
    </row>
    <row r="27" spans="2:26" s="1" customFormat="1" ht="26.25" customHeight="1">
      <c r="B27" s="241"/>
      <c r="C27" s="933" t="s">
        <v>164</v>
      </c>
      <c r="D27" s="934"/>
      <c r="E27" s="934"/>
      <c r="F27" s="934"/>
      <c r="G27" s="934"/>
      <c r="H27" s="934"/>
      <c r="I27" s="934"/>
      <c r="J27" s="934"/>
      <c r="K27" s="934"/>
      <c r="L27" s="934"/>
      <c r="M27" s="934"/>
      <c r="N27" s="934"/>
      <c r="O27" s="934"/>
      <c r="P27" s="934"/>
      <c r="Q27" s="934"/>
      <c r="R27" s="934"/>
      <c r="S27" s="935"/>
      <c r="T27" s="904" t="s">
        <v>194</v>
      </c>
      <c r="U27" s="905"/>
      <c r="V27" s="1265" t="s">
        <v>663</v>
      </c>
      <c r="W27" s="1265"/>
      <c r="X27" s="905" t="s">
        <v>194</v>
      </c>
      <c r="Y27" s="906"/>
      <c r="Z27" s="242"/>
    </row>
    <row r="28" spans="2:26" s="1" customFormat="1" ht="9" customHeight="1">
      <c r="B28" s="277"/>
      <c r="C28" s="8"/>
      <c r="D28" s="8"/>
      <c r="E28" s="8"/>
      <c r="F28" s="8"/>
      <c r="G28" s="8"/>
      <c r="H28" s="8"/>
      <c r="I28" s="8"/>
      <c r="J28" s="8"/>
      <c r="K28" s="8"/>
      <c r="L28" s="8"/>
      <c r="M28" s="8"/>
      <c r="N28" s="8"/>
      <c r="O28" s="8"/>
      <c r="P28" s="8"/>
      <c r="Q28" s="8"/>
      <c r="R28" s="8"/>
      <c r="S28" s="8"/>
      <c r="T28" s="8"/>
      <c r="U28" s="8"/>
      <c r="V28" s="8"/>
      <c r="W28" s="8"/>
      <c r="X28" s="8"/>
      <c r="Y28" s="8"/>
      <c r="Z28" s="279"/>
    </row>
    <row r="29" spans="2:26" s="1" customFormat="1"/>
    <row r="30" spans="2:26" s="1" customFormat="1" ht="13.5" customHeight="1">
      <c r="B30" s="1270" t="s">
        <v>585</v>
      </c>
      <c r="C30" s="1271"/>
      <c r="D30" s="1271"/>
      <c r="E30" s="1271"/>
      <c r="F30" s="1271"/>
      <c r="G30" s="1271"/>
      <c r="H30" s="1271"/>
      <c r="I30" s="1271"/>
      <c r="J30" s="1271"/>
      <c r="K30" s="1271"/>
      <c r="L30" s="1271"/>
      <c r="M30" s="1271"/>
      <c r="N30" s="1271"/>
      <c r="O30" s="1271"/>
      <c r="P30" s="1271"/>
      <c r="Q30" s="1271"/>
      <c r="R30" s="1271"/>
      <c r="S30" s="1271"/>
      <c r="T30" s="1271"/>
      <c r="U30" s="1271"/>
      <c r="V30" s="1271"/>
      <c r="W30" s="1271"/>
      <c r="X30" s="1271"/>
      <c r="Y30" s="1271"/>
      <c r="Z30" s="1271"/>
    </row>
    <row r="31" spans="2:26" s="14" customFormat="1" ht="73.5" customHeight="1">
      <c r="B31" s="1271"/>
      <c r="C31" s="1271"/>
      <c r="D31" s="1271"/>
      <c r="E31" s="1271"/>
      <c r="F31" s="1271"/>
      <c r="G31" s="1271"/>
      <c r="H31" s="1271"/>
      <c r="I31" s="1271"/>
      <c r="J31" s="1271"/>
      <c r="K31" s="1271"/>
      <c r="L31" s="1271"/>
      <c r="M31" s="1271"/>
      <c r="N31" s="1271"/>
      <c r="O31" s="1271"/>
      <c r="P31" s="1271"/>
      <c r="Q31" s="1271"/>
      <c r="R31" s="1271"/>
      <c r="S31" s="1271"/>
      <c r="T31" s="1271"/>
      <c r="U31" s="1271"/>
      <c r="V31" s="1271"/>
      <c r="W31" s="1271"/>
      <c r="X31" s="1271"/>
      <c r="Y31" s="1271"/>
      <c r="Z31" s="1271"/>
    </row>
    <row r="32" spans="2:26" s="14" customFormat="1">
      <c r="B32" s="383"/>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row>
    <row r="33" spans="2:26" s="14" customFormat="1">
      <c r="B33" s="383"/>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3"/>
  <dataValidations count="1">
    <dataValidation type="list" allowBlank="1" showInputMessage="1" showErrorMessage="1" sqref="G7:G8 L7 Q7:Q8 T24:U27 X24:Y27" xr:uid="{00EE64B5-9DB2-494B-97B9-60C8EBDB543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E3B7F-C47C-40F6-9478-2BD86F49DEE2}">
  <sheetPr>
    <tabColor rgb="FFFFFF00"/>
    <pageSetUpPr fitToPage="1"/>
  </sheetPr>
  <dimension ref="B2:AI69"/>
  <sheetViews>
    <sheetView view="pageBreakPreview" zoomScaleNormal="100" zoomScaleSheetLayoutView="100" workbookViewId="0">
      <selection activeCell="B5" sqref="B5:AE5"/>
    </sheetView>
  </sheetViews>
  <sheetFormatPr defaultColWidth="4" defaultRowHeight="13.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c r="B2" s="1" t="s">
        <v>870</v>
      </c>
    </row>
    <row r="3" spans="2:31">
      <c r="U3" s="2"/>
      <c r="X3" s="45" t="s">
        <v>313</v>
      </c>
      <c r="Y3" s="899"/>
      <c r="Z3" s="899"/>
      <c r="AA3" s="45" t="s">
        <v>34</v>
      </c>
      <c r="AB3" s="12"/>
      <c r="AC3" s="45" t="s">
        <v>654</v>
      </c>
      <c r="AD3" s="12"/>
      <c r="AE3" s="45" t="s">
        <v>376</v>
      </c>
    </row>
    <row r="4" spans="2:31">
      <c r="T4" s="383"/>
      <c r="U4" s="383"/>
      <c r="V4" s="383"/>
    </row>
    <row r="5" spans="2:31">
      <c r="B5" s="899" t="s">
        <v>871</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row>
    <row r="7" spans="2:31" ht="23.25" customHeight="1">
      <c r="B7" s="432" t="s">
        <v>145</v>
      </c>
      <c r="C7" s="432"/>
      <c r="D7" s="432"/>
      <c r="E7" s="432"/>
      <c r="F7" s="904"/>
      <c r="G7" s="905"/>
      <c r="H7" s="905"/>
      <c r="I7" s="905"/>
      <c r="J7" s="905"/>
      <c r="K7" s="905"/>
      <c r="L7" s="905"/>
      <c r="M7" s="905"/>
      <c r="N7" s="905"/>
      <c r="O7" s="905"/>
      <c r="P7" s="905"/>
      <c r="Q7" s="905"/>
      <c r="R7" s="905"/>
      <c r="S7" s="905"/>
      <c r="T7" s="905"/>
      <c r="U7" s="905"/>
      <c r="V7" s="905"/>
      <c r="W7" s="905"/>
      <c r="X7" s="905"/>
      <c r="Y7" s="905"/>
      <c r="Z7" s="905"/>
      <c r="AA7" s="905"/>
      <c r="AB7" s="905"/>
      <c r="AC7" s="905"/>
      <c r="AD7" s="905"/>
      <c r="AE7" s="906"/>
    </row>
    <row r="8" spans="2:31" ht="23.25" customHeight="1">
      <c r="B8" s="432" t="s">
        <v>655</v>
      </c>
      <c r="C8" s="432"/>
      <c r="D8" s="432"/>
      <c r="E8" s="432"/>
      <c r="F8" s="346" t="s">
        <v>194</v>
      </c>
      <c r="G8" s="364" t="s">
        <v>656</v>
      </c>
      <c r="H8" s="364"/>
      <c r="I8" s="364"/>
      <c r="J8" s="364"/>
      <c r="K8" s="347" t="s">
        <v>194</v>
      </c>
      <c r="L8" s="364" t="s">
        <v>657</v>
      </c>
      <c r="M8" s="364"/>
      <c r="N8" s="364"/>
      <c r="O8" s="364"/>
      <c r="P8" s="364"/>
      <c r="Q8" s="347" t="s">
        <v>194</v>
      </c>
      <c r="R8" s="364" t="s">
        <v>658</v>
      </c>
      <c r="S8" s="364"/>
      <c r="T8" s="364"/>
      <c r="U8" s="364"/>
      <c r="V8" s="364"/>
      <c r="W8" s="364"/>
      <c r="X8" s="364"/>
      <c r="Y8" s="364"/>
      <c r="Z8" s="364"/>
      <c r="AA8" s="364"/>
      <c r="AB8" s="364"/>
      <c r="AC8" s="364"/>
      <c r="AD8" s="10"/>
      <c r="AE8" s="11"/>
    </row>
    <row r="9" spans="2:31" ht="24.9" customHeight="1">
      <c r="B9" s="1038" t="s">
        <v>659</v>
      </c>
      <c r="C9" s="1039"/>
      <c r="D9" s="1039"/>
      <c r="E9" s="1040"/>
      <c r="F9" s="12" t="s">
        <v>194</v>
      </c>
      <c r="G9" s="287" t="s">
        <v>872</v>
      </c>
      <c r="H9" s="2"/>
      <c r="I9" s="2"/>
      <c r="J9" s="2"/>
      <c r="K9" s="2"/>
      <c r="L9" s="2"/>
      <c r="M9" s="2"/>
      <c r="N9" s="2"/>
      <c r="O9" s="2"/>
      <c r="Q9" s="7"/>
      <c r="R9" s="361" t="s">
        <v>194</v>
      </c>
      <c r="S9" s="2" t="s">
        <v>873</v>
      </c>
      <c r="T9" s="2"/>
      <c r="U9" s="2"/>
      <c r="V9" s="2"/>
      <c r="W9" s="22"/>
      <c r="X9" s="22"/>
      <c r="Y9" s="22"/>
      <c r="Z9" s="22"/>
      <c r="AA9" s="22"/>
      <c r="AB9" s="22"/>
      <c r="AC9" s="22"/>
      <c r="AD9" s="7"/>
      <c r="AE9" s="4"/>
    </row>
    <row r="10" spans="2:31" ht="24.9" customHeight="1">
      <c r="B10" s="1041"/>
      <c r="C10" s="899"/>
      <c r="D10" s="899"/>
      <c r="E10" s="1042"/>
      <c r="F10" s="12" t="s">
        <v>194</v>
      </c>
      <c r="G10" s="287" t="s">
        <v>874</v>
      </c>
      <c r="H10" s="2"/>
      <c r="I10" s="2"/>
      <c r="J10" s="2"/>
      <c r="K10" s="2"/>
      <c r="L10" s="2"/>
      <c r="M10" s="2"/>
      <c r="N10" s="2"/>
      <c r="O10" s="2"/>
      <c r="R10" s="12" t="s">
        <v>194</v>
      </c>
      <c r="S10" s="2" t="s">
        <v>875</v>
      </c>
      <c r="T10" s="2"/>
      <c r="U10" s="2"/>
      <c r="V10" s="2"/>
      <c r="W10" s="2"/>
      <c r="X10" s="2"/>
      <c r="Y10" s="2"/>
      <c r="Z10" s="2"/>
      <c r="AA10" s="2"/>
      <c r="AB10" s="2"/>
      <c r="AC10" s="2"/>
      <c r="AE10" s="242"/>
    </row>
    <row r="11" spans="2:31" ht="24.9" customHeight="1">
      <c r="B11" s="1158"/>
      <c r="C11" s="1159"/>
      <c r="D11" s="1159"/>
      <c r="E11" s="1160"/>
      <c r="F11" s="12" t="s">
        <v>194</v>
      </c>
      <c r="G11" s="2" t="s">
        <v>876</v>
      </c>
      <c r="H11" s="2"/>
      <c r="I11" s="2"/>
      <c r="J11" s="2"/>
      <c r="K11" s="2"/>
      <c r="L11" s="2"/>
      <c r="M11" s="2"/>
      <c r="N11" s="2"/>
      <c r="O11" s="2"/>
      <c r="R11" s="12"/>
      <c r="S11" s="2"/>
      <c r="T11" s="2"/>
      <c r="U11" s="2"/>
      <c r="V11" s="2"/>
      <c r="W11" s="2"/>
      <c r="X11" s="2"/>
      <c r="Y11" s="2"/>
      <c r="Z11" s="2"/>
      <c r="AA11" s="2"/>
      <c r="AB11" s="2"/>
      <c r="AC11" s="2"/>
      <c r="AE11" s="242"/>
    </row>
    <row r="12" spans="2:31" ht="30.75" customHeight="1">
      <c r="B12" s="432" t="s">
        <v>146</v>
      </c>
      <c r="C12" s="432"/>
      <c r="D12" s="432"/>
      <c r="E12" s="432"/>
      <c r="F12" s="346" t="s">
        <v>194</v>
      </c>
      <c r="G12" s="364" t="s">
        <v>877</v>
      </c>
      <c r="H12" s="433"/>
      <c r="I12" s="433"/>
      <c r="J12" s="433"/>
      <c r="K12" s="433"/>
      <c r="L12" s="433"/>
      <c r="M12" s="433"/>
      <c r="N12" s="433"/>
      <c r="O12" s="433"/>
      <c r="P12" s="433"/>
      <c r="Q12" s="10"/>
      <c r="R12" s="347" t="s">
        <v>194</v>
      </c>
      <c r="S12" s="364" t="s">
        <v>878</v>
      </c>
      <c r="T12" s="433"/>
      <c r="U12" s="433"/>
      <c r="V12" s="433"/>
      <c r="W12" s="433"/>
      <c r="X12" s="433"/>
      <c r="Y12" s="433"/>
      <c r="Z12" s="433"/>
      <c r="AA12" s="433"/>
      <c r="AB12" s="433"/>
      <c r="AC12" s="433"/>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46"/>
      <c r="AB14" s="347" t="s">
        <v>662</v>
      </c>
      <c r="AC14" s="347" t="s">
        <v>663</v>
      </c>
      <c r="AD14" s="347" t="s">
        <v>664</v>
      </c>
      <c r="AE14" s="11"/>
    </row>
    <row r="15" spans="2:31">
      <c r="B15" s="6" t="s">
        <v>879</v>
      </c>
      <c r="C15" s="7"/>
      <c r="D15" s="7"/>
      <c r="E15" s="7"/>
      <c r="F15" s="7"/>
      <c r="G15" s="7"/>
      <c r="H15" s="7"/>
      <c r="I15" s="7"/>
      <c r="J15" s="7"/>
      <c r="K15" s="7"/>
      <c r="L15" s="7"/>
      <c r="M15" s="7"/>
      <c r="N15" s="7"/>
      <c r="O15" s="7"/>
      <c r="P15" s="7"/>
      <c r="Q15" s="7"/>
      <c r="R15" s="7"/>
      <c r="S15" s="7"/>
      <c r="T15" s="7"/>
      <c r="U15" s="7"/>
      <c r="V15" s="7"/>
      <c r="W15" s="7"/>
      <c r="X15" s="7"/>
      <c r="Y15" s="7"/>
      <c r="Z15" s="23"/>
      <c r="AA15" s="360"/>
      <c r="AB15" s="361"/>
      <c r="AC15" s="361"/>
      <c r="AD15" s="7"/>
      <c r="AE15" s="4"/>
    </row>
    <row r="16" spans="2:31">
      <c r="B16" s="241"/>
      <c r="C16" s="434" t="s">
        <v>666</v>
      </c>
      <c r="D16" s="1" t="s">
        <v>880</v>
      </c>
      <c r="Z16" s="409"/>
      <c r="AA16" s="377"/>
      <c r="AB16" s="12" t="s">
        <v>194</v>
      </c>
      <c r="AC16" s="12" t="s">
        <v>663</v>
      </c>
      <c r="AD16" s="12" t="s">
        <v>194</v>
      </c>
      <c r="AE16" s="242"/>
    </row>
    <row r="17" spans="2:31">
      <c r="B17" s="241"/>
      <c r="D17" s="1" t="s">
        <v>668</v>
      </c>
      <c r="Z17" s="385"/>
      <c r="AA17" s="362"/>
      <c r="AB17" s="12"/>
      <c r="AC17" s="12"/>
      <c r="AE17" s="242"/>
    </row>
    <row r="18" spans="2:31" ht="6" customHeight="1">
      <c r="B18" s="241"/>
      <c r="Z18" s="385"/>
      <c r="AA18" s="362"/>
      <c r="AB18" s="12"/>
      <c r="AC18" s="12"/>
      <c r="AE18" s="242"/>
    </row>
    <row r="19" spans="2:31">
      <c r="B19" s="241"/>
      <c r="D19" s="407" t="s">
        <v>669</v>
      </c>
      <c r="E19" s="364"/>
      <c r="F19" s="364"/>
      <c r="G19" s="364"/>
      <c r="H19" s="364"/>
      <c r="I19" s="364"/>
      <c r="J19" s="364"/>
      <c r="K19" s="364"/>
      <c r="L19" s="364"/>
      <c r="M19" s="364"/>
      <c r="N19" s="364"/>
      <c r="O19" s="10"/>
      <c r="P19" s="10"/>
      <c r="Q19" s="10"/>
      <c r="R19" s="10"/>
      <c r="S19" s="364"/>
      <c r="T19" s="364"/>
      <c r="U19" s="904"/>
      <c r="V19" s="905"/>
      <c r="W19" s="905"/>
      <c r="X19" s="10" t="s">
        <v>336</v>
      </c>
      <c r="Y19" s="241"/>
      <c r="Z19" s="385"/>
      <c r="AA19" s="362"/>
      <c r="AB19" s="12"/>
      <c r="AC19" s="12"/>
      <c r="AE19" s="242"/>
    </row>
    <row r="20" spans="2:31">
      <c r="B20" s="241"/>
      <c r="D20" s="407" t="s">
        <v>881</v>
      </c>
      <c r="E20" s="364"/>
      <c r="F20" s="364"/>
      <c r="G20" s="364"/>
      <c r="H20" s="364"/>
      <c r="I20" s="364"/>
      <c r="J20" s="364"/>
      <c r="K20" s="364"/>
      <c r="L20" s="364"/>
      <c r="M20" s="364"/>
      <c r="N20" s="364"/>
      <c r="O20" s="10"/>
      <c r="P20" s="10"/>
      <c r="Q20" s="10"/>
      <c r="R20" s="10"/>
      <c r="S20" s="364"/>
      <c r="T20" s="364"/>
      <c r="U20" s="904"/>
      <c r="V20" s="905"/>
      <c r="W20" s="905"/>
      <c r="X20" s="10" t="s">
        <v>336</v>
      </c>
      <c r="Y20" s="241"/>
      <c r="Z20" s="242"/>
      <c r="AA20" s="362"/>
      <c r="AB20" s="12"/>
      <c r="AC20" s="12"/>
      <c r="AE20" s="242"/>
    </row>
    <row r="21" spans="2:31">
      <c r="B21" s="241"/>
      <c r="D21" s="407" t="s">
        <v>671</v>
      </c>
      <c r="E21" s="364"/>
      <c r="F21" s="364"/>
      <c r="G21" s="364"/>
      <c r="H21" s="364"/>
      <c r="I21" s="364"/>
      <c r="J21" s="364"/>
      <c r="K21" s="364"/>
      <c r="L21" s="364"/>
      <c r="M21" s="364"/>
      <c r="N21" s="364"/>
      <c r="O21" s="10"/>
      <c r="P21" s="10"/>
      <c r="Q21" s="10"/>
      <c r="R21" s="10"/>
      <c r="S21" s="364"/>
      <c r="T21" s="435" t="str">
        <f>(IFERROR(ROUNDDOWN(T20/T19*100,0),""))</f>
        <v/>
      </c>
      <c r="U21" s="1272" t="str">
        <f>(IFERROR(ROUNDDOWN(U20/U19*100,0),""))</f>
        <v/>
      </c>
      <c r="V21" s="1273"/>
      <c r="W21" s="1273"/>
      <c r="X21" s="10" t="s">
        <v>61</v>
      </c>
      <c r="Y21" s="241"/>
      <c r="Z21" s="363"/>
      <c r="AA21" s="362"/>
      <c r="AB21" s="12"/>
      <c r="AC21" s="12"/>
      <c r="AE21" s="242"/>
    </row>
    <row r="22" spans="2:31">
      <c r="B22" s="241"/>
      <c r="D22" s="1" t="s">
        <v>882</v>
      </c>
      <c r="Z22" s="363"/>
      <c r="AA22" s="362"/>
      <c r="AB22" s="12"/>
      <c r="AC22" s="12"/>
      <c r="AE22" s="242"/>
    </row>
    <row r="23" spans="2:31">
      <c r="B23" s="241"/>
      <c r="E23" s="1" t="s">
        <v>883</v>
      </c>
      <c r="Z23" s="363"/>
      <c r="AA23" s="362"/>
      <c r="AB23" s="12"/>
      <c r="AC23" s="12"/>
      <c r="AE23" s="242"/>
    </row>
    <row r="24" spans="2:31">
      <c r="B24" s="241"/>
      <c r="Z24" s="363"/>
      <c r="AA24" s="362"/>
      <c r="AB24" s="12"/>
      <c r="AC24" s="12"/>
      <c r="AE24" s="242"/>
    </row>
    <row r="25" spans="2:31">
      <c r="B25" s="241"/>
      <c r="C25" s="434" t="s">
        <v>674</v>
      </c>
      <c r="D25" s="1" t="s">
        <v>884</v>
      </c>
      <c r="Z25" s="409"/>
      <c r="AA25" s="362"/>
      <c r="AB25" s="12" t="s">
        <v>194</v>
      </c>
      <c r="AC25" s="12" t="s">
        <v>663</v>
      </c>
      <c r="AD25" s="12" t="s">
        <v>194</v>
      </c>
      <c r="AE25" s="242"/>
    </row>
    <row r="26" spans="2:31">
      <c r="B26" s="241"/>
      <c r="C26" s="434"/>
      <c r="D26" s="1" t="s">
        <v>885</v>
      </c>
      <c r="Z26" s="409"/>
      <c r="AA26" s="362"/>
      <c r="AB26" s="12"/>
      <c r="AC26" s="12"/>
      <c r="AD26" s="12"/>
      <c r="AE26" s="242"/>
    </row>
    <row r="27" spans="2:31">
      <c r="B27" s="241"/>
      <c r="C27" s="434"/>
      <c r="D27" s="1" t="s">
        <v>886</v>
      </c>
      <c r="Z27" s="409"/>
      <c r="AA27" s="362"/>
      <c r="AB27" s="12"/>
      <c r="AC27" s="12"/>
      <c r="AD27" s="12"/>
      <c r="AE27" s="242"/>
    </row>
    <row r="28" spans="2:31">
      <c r="B28" s="241"/>
      <c r="C28" s="434"/>
      <c r="D28" s="1" t="s">
        <v>887</v>
      </c>
      <c r="Z28" s="409"/>
      <c r="AA28" s="362"/>
      <c r="AB28" s="12"/>
      <c r="AC28" s="12"/>
      <c r="AD28" s="12"/>
      <c r="AE28" s="242"/>
    </row>
    <row r="29" spans="2:31" ht="6" customHeight="1">
      <c r="B29" s="241"/>
      <c r="Z29" s="363"/>
      <c r="AA29" s="362"/>
      <c r="AB29" s="12"/>
      <c r="AC29" s="12"/>
      <c r="AE29" s="242"/>
    </row>
    <row r="30" spans="2:31">
      <c r="B30" s="241"/>
      <c r="C30" s="434"/>
      <c r="D30" s="41" t="s">
        <v>888</v>
      </c>
      <c r="E30" s="22"/>
      <c r="F30" s="22"/>
      <c r="G30" s="22"/>
      <c r="H30" s="22"/>
      <c r="I30" s="22"/>
      <c r="J30" s="22"/>
      <c r="K30" s="22"/>
      <c r="L30" s="22"/>
      <c r="M30" s="22"/>
      <c r="N30" s="22"/>
      <c r="O30" s="7"/>
      <c r="P30" s="7"/>
      <c r="Q30" s="7"/>
      <c r="R30" s="7"/>
      <c r="S30" s="7"/>
      <c r="T30" s="4"/>
      <c r="U30" s="1038"/>
      <c r="V30" s="1039"/>
      <c r="W30" s="1039"/>
      <c r="X30" s="1040" t="s">
        <v>336</v>
      </c>
      <c r="Z30" s="363"/>
      <c r="AA30" s="362"/>
      <c r="AB30" s="12"/>
      <c r="AC30" s="12"/>
      <c r="AE30" s="242"/>
    </row>
    <row r="31" spans="2:31">
      <c r="B31" s="241"/>
      <c r="C31" s="434"/>
      <c r="D31" s="436" t="s">
        <v>889</v>
      </c>
      <c r="E31" s="2"/>
      <c r="F31" s="2"/>
      <c r="G31" s="2"/>
      <c r="H31" s="2"/>
      <c r="I31" s="2"/>
      <c r="J31" s="2"/>
      <c r="K31" s="2"/>
      <c r="L31" s="2"/>
      <c r="M31" s="2"/>
      <c r="N31" s="2"/>
      <c r="T31" s="242"/>
      <c r="U31" s="1041"/>
      <c r="V31" s="899"/>
      <c r="W31" s="899"/>
      <c r="X31" s="1042"/>
      <c r="Z31" s="363"/>
      <c r="AA31" s="362"/>
      <c r="AB31" s="12"/>
      <c r="AC31" s="12"/>
      <c r="AE31" s="242"/>
    </row>
    <row r="32" spans="2:31">
      <c r="B32" s="241"/>
      <c r="C32" s="434"/>
      <c r="D32" s="436" t="s">
        <v>890</v>
      </c>
      <c r="E32" s="2"/>
      <c r="F32" s="2"/>
      <c r="G32" s="2"/>
      <c r="H32" s="2"/>
      <c r="I32" s="2"/>
      <c r="J32" s="2"/>
      <c r="K32" s="2"/>
      <c r="L32" s="2"/>
      <c r="M32" s="2"/>
      <c r="N32" s="2"/>
      <c r="T32" s="242"/>
      <c r="U32" s="1041"/>
      <c r="V32" s="899"/>
      <c r="W32" s="899"/>
      <c r="X32" s="1042"/>
      <c r="Z32" s="363"/>
      <c r="AA32" s="362"/>
      <c r="AB32" s="12"/>
      <c r="AC32" s="12"/>
      <c r="AE32" s="242"/>
    </row>
    <row r="33" spans="2:35">
      <c r="B33" s="241"/>
      <c r="C33" s="434"/>
      <c r="D33" s="437" t="s">
        <v>891</v>
      </c>
      <c r="E33" s="297"/>
      <c r="F33" s="297"/>
      <c r="G33" s="297"/>
      <c r="H33" s="297"/>
      <c r="I33" s="297"/>
      <c r="J33" s="297"/>
      <c r="K33" s="297"/>
      <c r="L33" s="297"/>
      <c r="M33" s="297"/>
      <c r="N33" s="297"/>
      <c r="O33" s="8"/>
      <c r="P33" s="8"/>
      <c r="Q33" s="8"/>
      <c r="R33" s="8"/>
      <c r="S33" s="8"/>
      <c r="T33" s="279"/>
      <c r="U33" s="1158"/>
      <c r="V33" s="1159"/>
      <c r="W33" s="1159"/>
      <c r="X33" s="1160"/>
      <c r="Z33" s="363"/>
      <c r="AA33" s="362"/>
      <c r="AB33" s="12"/>
      <c r="AC33" s="12"/>
      <c r="AE33" s="242"/>
    </row>
    <row r="34" spans="2:35" ht="4.5" customHeight="1">
      <c r="B34" s="241"/>
      <c r="C34" s="434"/>
      <c r="D34" s="2"/>
      <c r="E34" s="2"/>
      <c r="F34" s="2"/>
      <c r="G34" s="2"/>
      <c r="H34" s="2"/>
      <c r="I34" s="2"/>
      <c r="J34" s="2"/>
      <c r="K34" s="2"/>
      <c r="L34" s="2"/>
      <c r="M34" s="2"/>
      <c r="N34" s="2"/>
      <c r="U34" s="12"/>
      <c r="V34" s="12"/>
      <c r="W34" s="12"/>
      <c r="Z34" s="363"/>
      <c r="AA34" s="362"/>
      <c r="AB34" s="12"/>
      <c r="AC34" s="12"/>
      <c r="AE34" s="242"/>
    </row>
    <row r="35" spans="2:35">
      <c r="B35" s="241"/>
      <c r="C35" s="434"/>
      <c r="J35" s="899"/>
      <c r="K35" s="899"/>
      <c r="L35" s="899"/>
      <c r="M35" s="899"/>
      <c r="N35" s="899"/>
      <c r="O35" s="899"/>
      <c r="P35" s="899"/>
      <c r="Q35" s="899"/>
      <c r="R35" s="899"/>
      <c r="S35" s="899"/>
      <c r="T35" s="899"/>
      <c r="U35" s="899"/>
      <c r="V35" s="899"/>
      <c r="Z35" s="385"/>
      <c r="AA35" s="362"/>
      <c r="AB35" s="12"/>
      <c r="AC35" s="12"/>
      <c r="AE35" s="242"/>
    </row>
    <row r="36" spans="2:35">
      <c r="B36" s="241"/>
      <c r="C36" s="434" t="s">
        <v>694</v>
      </c>
      <c r="D36" s="1" t="s">
        <v>892</v>
      </c>
      <c r="Z36" s="409"/>
      <c r="AA36" s="377"/>
      <c r="AB36" s="12" t="s">
        <v>194</v>
      </c>
      <c r="AC36" s="12" t="s">
        <v>663</v>
      </c>
      <c r="AD36" s="12" t="s">
        <v>194</v>
      </c>
      <c r="AE36" s="242"/>
    </row>
    <row r="37" spans="2:35">
      <c r="B37" s="241"/>
      <c r="D37" s="1" t="s">
        <v>893</v>
      </c>
      <c r="E37" s="2"/>
      <c r="F37" s="2"/>
      <c r="G37" s="2"/>
      <c r="H37" s="2"/>
      <c r="I37" s="2"/>
      <c r="J37" s="2"/>
      <c r="K37" s="2"/>
      <c r="L37" s="2"/>
      <c r="M37" s="2"/>
      <c r="N37" s="2"/>
      <c r="O37" s="336"/>
      <c r="P37" s="336"/>
      <c r="Q37" s="336"/>
      <c r="Z37" s="363"/>
      <c r="AA37" s="362"/>
      <c r="AB37" s="12"/>
      <c r="AC37" s="12"/>
      <c r="AE37" s="242"/>
    </row>
    <row r="38" spans="2:35" ht="14.25" customHeight="1">
      <c r="B38" s="241"/>
      <c r="C38" s="434"/>
      <c r="Z38" s="409"/>
      <c r="AA38" s="377"/>
      <c r="AB38" s="12"/>
      <c r="AC38" s="12"/>
      <c r="AD38" s="12"/>
      <c r="AE38" s="242"/>
    </row>
    <row r="39" spans="2:35" ht="14.25" customHeight="1">
      <c r="B39" s="241"/>
      <c r="C39" s="434" t="s">
        <v>894</v>
      </c>
      <c r="D39" s="1" t="s">
        <v>895</v>
      </c>
      <c r="Z39" s="409"/>
      <c r="AA39" s="377"/>
      <c r="AB39" s="12" t="s">
        <v>194</v>
      </c>
      <c r="AC39" s="12" t="s">
        <v>663</v>
      </c>
      <c r="AD39" s="12" t="s">
        <v>194</v>
      </c>
      <c r="AE39" s="242"/>
    </row>
    <row r="40" spans="2:35" ht="14.25" customHeight="1">
      <c r="B40" s="241"/>
      <c r="C40" s="434"/>
      <c r="D40" s="1" t="s">
        <v>896</v>
      </c>
      <c r="Z40" s="409"/>
      <c r="AA40" s="377"/>
      <c r="AB40" s="12"/>
      <c r="AC40" s="12"/>
      <c r="AD40" s="12"/>
      <c r="AE40" s="242"/>
    </row>
    <row r="41" spans="2:35">
      <c r="B41" s="241"/>
      <c r="D41" s="1" t="s">
        <v>897</v>
      </c>
      <c r="Z41" s="363"/>
      <c r="AA41" s="362"/>
      <c r="AB41" s="12"/>
      <c r="AC41" s="12"/>
      <c r="AE41" s="242"/>
    </row>
    <row r="42" spans="2:35">
      <c r="B42" s="241"/>
      <c r="Z42" s="385"/>
      <c r="AA42" s="362"/>
      <c r="AB42" s="12"/>
      <c r="AC42" s="12"/>
      <c r="AE42" s="242"/>
    </row>
    <row r="43" spans="2:35">
      <c r="B43" s="241" t="s">
        <v>898</v>
      </c>
      <c r="Z43" s="363"/>
      <c r="AA43" s="362"/>
      <c r="AB43" s="12"/>
      <c r="AC43" s="12"/>
      <c r="AE43" s="242"/>
    </row>
    <row r="44" spans="2:35" ht="17.25" customHeight="1">
      <c r="B44" s="241"/>
      <c r="C44" s="434" t="s">
        <v>666</v>
      </c>
      <c r="D44" s="1" t="s">
        <v>899</v>
      </c>
      <c r="Z44" s="409"/>
      <c r="AA44" s="377"/>
      <c r="AB44" s="12" t="s">
        <v>194</v>
      </c>
      <c r="AC44" s="12" t="s">
        <v>663</v>
      </c>
      <c r="AD44" s="12" t="s">
        <v>194</v>
      </c>
      <c r="AE44" s="242"/>
    </row>
    <row r="45" spans="2:35" ht="18.75" customHeight="1">
      <c r="B45" s="241"/>
      <c r="D45" s="1" t="s">
        <v>900</v>
      </c>
      <c r="Z45" s="363"/>
      <c r="AA45" s="362"/>
      <c r="AB45" s="12"/>
      <c r="AC45" s="12"/>
      <c r="AE45" s="242"/>
    </row>
    <row r="46" spans="2:35" ht="7.5" customHeight="1">
      <c r="B46" s="241"/>
      <c r="W46" s="21"/>
      <c r="Z46" s="242"/>
      <c r="AA46" s="362"/>
      <c r="AB46" s="12"/>
      <c r="AC46" s="12"/>
      <c r="AE46" s="242"/>
      <c r="AI46" s="336"/>
    </row>
    <row r="47" spans="2:35">
      <c r="B47" s="241"/>
      <c r="E47" s="2"/>
      <c r="F47" s="2"/>
      <c r="G47" s="2"/>
      <c r="H47" s="2"/>
      <c r="I47" s="2"/>
      <c r="J47" s="2"/>
      <c r="K47" s="2"/>
      <c r="L47" s="2"/>
      <c r="M47" s="2"/>
      <c r="N47" s="2"/>
      <c r="O47" s="336"/>
      <c r="P47" s="336"/>
      <c r="Q47" s="336"/>
      <c r="Z47" s="363"/>
      <c r="AA47" s="362"/>
      <c r="AB47" s="12"/>
      <c r="AC47" s="12"/>
      <c r="AE47" s="242"/>
    </row>
    <row r="48" spans="2:35">
      <c r="B48" s="241"/>
      <c r="C48" s="434" t="s">
        <v>674</v>
      </c>
      <c r="D48" s="245" t="s">
        <v>901</v>
      </c>
      <c r="Z48" s="409"/>
      <c r="AA48" s="362"/>
      <c r="AB48" s="12" t="s">
        <v>194</v>
      </c>
      <c r="AC48" s="12" t="s">
        <v>663</v>
      </c>
      <c r="AD48" s="12" t="s">
        <v>194</v>
      </c>
      <c r="AE48" s="242"/>
    </row>
    <row r="49" spans="2:31">
      <c r="B49" s="241"/>
      <c r="C49" s="434"/>
      <c r="D49" s="1" t="s">
        <v>902</v>
      </c>
      <c r="Z49" s="409"/>
      <c r="AA49" s="362"/>
      <c r="AB49" s="12"/>
      <c r="AC49" s="12"/>
      <c r="AD49" s="12"/>
      <c r="AE49" s="242"/>
    </row>
    <row r="50" spans="2:31">
      <c r="B50" s="241"/>
      <c r="C50" s="434"/>
      <c r="D50" s="1" t="s">
        <v>903</v>
      </c>
      <c r="Z50" s="409"/>
      <c r="AA50" s="362"/>
      <c r="AB50" s="12"/>
      <c r="AC50" s="12"/>
      <c r="AD50" s="12"/>
      <c r="AE50" s="242"/>
    </row>
    <row r="51" spans="2:31" ht="6" customHeight="1">
      <c r="B51" s="241"/>
      <c r="Z51" s="363"/>
      <c r="AA51" s="362"/>
      <c r="AB51" s="12"/>
      <c r="AC51" s="12"/>
      <c r="AE51" s="242"/>
    </row>
    <row r="52" spans="2:31">
      <c r="B52" s="241"/>
      <c r="C52" s="434"/>
      <c r="D52" s="41" t="s">
        <v>904</v>
      </c>
      <c r="E52" s="22"/>
      <c r="F52" s="22"/>
      <c r="G52" s="22"/>
      <c r="H52" s="22"/>
      <c r="I52" s="22"/>
      <c r="J52" s="22"/>
      <c r="K52" s="22"/>
      <c r="L52" s="22"/>
      <c r="M52" s="22"/>
      <c r="N52" s="22"/>
      <c r="O52" s="7"/>
      <c r="P52" s="7"/>
      <c r="Q52" s="7"/>
      <c r="R52" s="7"/>
      <c r="S52" s="7"/>
      <c r="T52" s="7"/>
      <c r="U52" s="1038"/>
      <c r="V52" s="1039"/>
      <c r="W52" s="1039"/>
      <c r="X52" s="1040" t="s">
        <v>336</v>
      </c>
      <c r="Z52" s="363"/>
      <c r="AA52" s="362"/>
      <c r="AB52" s="12"/>
      <c r="AC52" s="12"/>
      <c r="AE52" s="242"/>
    </row>
    <row r="53" spans="2:31">
      <c r="B53" s="241"/>
      <c r="C53" s="434"/>
      <c r="D53" s="437" t="s">
        <v>905</v>
      </c>
      <c r="E53" s="297"/>
      <c r="F53" s="297"/>
      <c r="G53" s="297"/>
      <c r="H53" s="297"/>
      <c r="I53" s="297"/>
      <c r="J53" s="297"/>
      <c r="K53" s="297"/>
      <c r="L53" s="297"/>
      <c r="M53" s="297"/>
      <c r="N53" s="297"/>
      <c r="O53" s="8"/>
      <c r="P53" s="8"/>
      <c r="Q53" s="8"/>
      <c r="R53" s="8"/>
      <c r="S53" s="8"/>
      <c r="T53" s="8"/>
      <c r="U53" s="1158"/>
      <c r="V53" s="1159"/>
      <c r="W53" s="1159"/>
      <c r="X53" s="1160"/>
      <c r="Z53" s="363"/>
      <c r="AA53" s="362"/>
      <c r="AB53" s="12"/>
      <c r="AC53" s="12"/>
      <c r="AE53" s="242"/>
    </row>
    <row r="54" spans="2:31" ht="4.5" customHeight="1">
      <c r="B54" s="241"/>
      <c r="C54" s="434"/>
      <c r="D54" s="2"/>
      <c r="E54" s="2"/>
      <c r="F54" s="2"/>
      <c r="G54" s="2"/>
      <c r="H54" s="2"/>
      <c r="I54" s="2"/>
      <c r="J54" s="2"/>
      <c r="K54" s="2"/>
      <c r="L54" s="2"/>
      <c r="M54" s="2"/>
      <c r="N54" s="2"/>
      <c r="U54" s="12"/>
      <c r="V54" s="12"/>
      <c r="W54" s="12"/>
      <c r="Z54" s="363"/>
      <c r="AA54" s="362"/>
      <c r="AB54" s="12"/>
      <c r="AC54" s="12"/>
      <c r="AE54" s="242"/>
    </row>
    <row r="55" spans="2:31">
      <c r="B55" s="241"/>
      <c r="D55" s="12"/>
      <c r="E55" s="336"/>
      <c r="F55" s="336"/>
      <c r="G55" s="336"/>
      <c r="H55" s="336"/>
      <c r="I55" s="336"/>
      <c r="J55" s="336"/>
      <c r="K55" s="336"/>
      <c r="L55" s="336"/>
      <c r="M55" s="336"/>
      <c r="N55" s="336"/>
      <c r="Q55" s="12"/>
      <c r="S55" s="21"/>
      <c r="T55" s="21"/>
      <c r="U55" s="21"/>
      <c r="V55" s="21"/>
      <c r="Z55" s="385"/>
      <c r="AA55" s="362"/>
      <c r="AB55" s="12"/>
      <c r="AC55" s="12"/>
      <c r="AE55" s="242"/>
    </row>
    <row r="56" spans="2:31">
      <c r="B56" s="277"/>
      <c r="C56" s="438"/>
      <c r="D56" s="8"/>
      <c r="E56" s="8"/>
      <c r="F56" s="8"/>
      <c r="G56" s="8"/>
      <c r="H56" s="8"/>
      <c r="I56" s="8"/>
      <c r="J56" s="8"/>
      <c r="K56" s="8"/>
      <c r="L56" s="8"/>
      <c r="M56" s="8"/>
      <c r="N56" s="8"/>
      <c r="O56" s="8"/>
      <c r="P56" s="8"/>
      <c r="Q56" s="8"/>
      <c r="R56" s="8"/>
      <c r="S56" s="8"/>
      <c r="T56" s="8"/>
      <c r="U56" s="8"/>
      <c r="V56" s="8"/>
      <c r="W56" s="8"/>
      <c r="X56" s="8"/>
      <c r="Y56" s="8"/>
      <c r="Z56" s="279"/>
      <c r="AA56" s="386"/>
      <c r="AB56" s="387"/>
      <c r="AC56" s="387"/>
      <c r="AD56" s="8"/>
      <c r="AE56" s="279"/>
    </row>
    <row r="57" spans="2:31">
      <c r="B57" s="1" t="s">
        <v>906</v>
      </c>
      <c r="D57" s="1" t="s">
        <v>907</v>
      </c>
    </row>
    <row r="58" spans="2:31">
      <c r="D58" s="1" t="s">
        <v>705</v>
      </c>
    </row>
    <row r="59" spans="2:31" ht="3.75" customHeight="1"/>
    <row r="60" spans="2:31">
      <c r="C60" s="439"/>
    </row>
    <row r="61" spans="2:31">
      <c r="C61" s="439"/>
    </row>
    <row r="62" spans="2:31">
      <c r="C62" s="439"/>
    </row>
    <row r="63" spans="2:31">
      <c r="C63" s="439"/>
    </row>
    <row r="64" spans="2:31">
      <c r="C64" s="439"/>
    </row>
    <row r="66" spans="3:26">
      <c r="C66" s="439"/>
      <c r="E66" s="439"/>
      <c r="F66" s="439"/>
      <c r="G66" s="439"/>
      <c r="H66" s="439"/>
      <c r="I66" s="439"/>
      <c r="J66" s="439"/>
      <c r="K66" s="439"/>
      <c r="L66" s="439"/>
      <c r="M66" s="439"/>
      <c r="N66" s="439"/>
      <c r="O66" s="439"/>
      <c r="P66" s="439"/>
      <c r="Q66" s="439"/>
      <c r="R66" s="439"/>
      <c r="S66" s="439"/>
      <c r="T66" s="439"/>
      <c r="U66" s="439"/>
      <c r="V66" s="439"/>
      <c r="W66" s="439"/>
      <c r="X66" s="439"/>
      <c r="Y66" s="439"/>
      <c r="Z66" s="439"/>
    </row>
    <row r="67" spans="3:26">
      <c r="C67" s="439"/>
      <c r="E67" s="439"/>
      <c r="F67" s="439"/>
      <c r="G67" s="439"/>
      <c r="H67" s="439"/>
      <c r="I67" s="439"/>
      <c r="J67" s="439"/>
      <c r="K67" s="439"/>
      <c r="L67" s="439"/>
      <c r="M67" s="439"/>
      <c r="N67" s="439"/>
      <c r="O67" s="439"/>
      <c r="P67" s="439"/>
      <c r="Q67" s="439"/>
      <c r="R67" s="439"/>
      <c r="S67" s="439"/>
      <c r="T67" s="439"/>
      <c r="U67" s="439"/>
      <c r="V67" s="439"/>
      <c r="W67" s="439"/>
      <c r="X67" s="439"/>
      <c r="Y67" s="439"/>
      <c r="Z67" s="439"/>
    </row>
    <row r="68" spans="3:26">
      <c r="C68" s="439"/>
      <c r="E68" s="439"/>
      <c r="F68" s="439"/>
      <c r="G68" s="439"/>
      <c r="H68" s="439"/>
      <c r="I68" s="439"/>
      <c r="J68" s="439"/>
      <c r="K68" s="439"/>
      <c r="L68" s="439"/>
      <c r="M68" s="439"/>
      <c r="N68" s="439"/>
      <c r="O68" s="439"/>
      <c r="P68" s="439"/>
      <c r="Q68" s="439"/>
      <c r="R68" s="439"/>
      <c r="S68" s="439"/>
      <c r="T68" s="439"/>
      <c r="U68" s="439"/>
      <c r="V68" s="439"/>
      <c r="W68" s="439"/>
      <c r="X68" s="439"/>
      <c r="Y68" s="439"/>
      <c r="Z68" s="439"/>
    </row>
    <row r="69" spans="3:26">
      <c r="C69" s="439"/>
      <c r="D69" s="439"/>
      <c r="E69" s="439"/>
      <c r="F69" s="439"/>
      <c r="G69" s="439"/>
      <c r="H69" s="439"/>
      <c r="I69" s="439"/>
      <c r="J69" s="439"/>
      <c r="K69" s="439"/>
      <c r="L69" s="439"/>
      <c r="M69" s="439"/>
      <c r="N69" s="439"/>
      <c r="O69" s="439"/>
      <c r="P69" s="439"/>
      <c r="Q69" s="439"/>
      <c r="R69" s="439"/>
      <c r="S69" s="439"/>
      <c r="T69" s="439"/>
      <c r="U69" s="439"/>
      <c r="V69" s="439"/>
      <c r="W69" s="439"/>
      <c r="X69" s="439"/>
      <c r="Y69" s="439"/>
      <c r="Z69" s="43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xr:uid="{C64560B4-4CEC-4B4D-A269-B3CCEB27BCD9}">
      <formula1>"□,■"</formula1>
    </dataValidation>
  </dataValidations>
  <pageMargins left="0.7" right="0.7" top="0.75" bottom="0.75" header="0.3" footer="0.3"/>
  <pageSetup paperSize="9" scale="72" orientation="portrait" r:id="rId1"/>
  <colBreaks count="1" manualBreakCount="1">
    <brk id="32"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8D171-D008-4330-8CBD-C20F9A3D70BD}">
  <sheetPr>
    <tabColor rgb="FFFFFF00"/>
    <pageSetUpPr fitToPage="1"/>
  </sheetPr>
  <dimension ref="B2:AD123"/>
  <sheetViews>
    <sheetView view="pageBreakPreview" zoomScaleNormal="100" zoomScaleSheetLayoutView="100" workbookViewId="0"/>
  </sheetViews>
  <sheetFormatPr defaultColWidth="3.44140625" defaultRowHeight="13.2"/>
  <cols>
    <col min="1" max="1" width="3.44140625" style="3"/>
    <col min="2" max="2" width="3" style="384" customWidth="1"/>
    <col min="3" max="7" width="3.44140625" style="3"/>
    <col min="8" max="8" width="2.44140625" style="3" customWidth="1"/>
    <col min="9" max="28" width="3.44140625" style="3"/>
    <col min="29" max="29" width="6.77734375" style="3" customWidth="1"/>
    <col min="30" max="16384" width="3.44140625" style="3"/>
  </cols>
  <sheetData>
    <row r="2" spans="2:29">
      <c r="B2" s="3" t="s">
        <v>909</v>
      </c>
    </row>
    <row r="3" spans="2:29">
      <c r="D3" s="1028"/>
      <c r="E3" s="1028"/>
      <c r="F3" s="1028"/>
      <c r="G3" s="1028"/>
      <c r="H3" s="1028"/>
      <c r="I3" s="1028"/>
      <c r="J3" s="1028"/>
      <c r="K3" s="1028"/>
      <c r="L3" s="1028"/>
      <c r="M3" s="1028"/>
      <c r="N3" s="1028"/>
      <c r="O3" s="1028"/>
      <c r="P3" s="1028"/>
      <c r="Q3" s="1028"/>
      <c r="R3" s="1028"/>
      <c r="S3" s="1028"/>
      <c r="T3" s="1028"/>
      <c r="U3" s="1028"/>
      <c r="V3" s="1028"/>
      <c r="W3" s="1028"/>
      <c r="X3" s="1028"/>
      <c r="Y3" s="1028"/>
      <c r="Z3" s="1028"/>
      <c r="AA3" s="1028"/>
      <c r="AB3" s="1028"/>
      <c r="AC3" s="1028"/>
    </row>
    <row r="4" spans="2:29">
      <c r="B4" s="1260" t="s">
        <v>910</v>
      </c>
      <c r="C4" s="1260"/>
      <c r="D4" s="1260"/>
      <c r="E4" s="1260"/>
      <c r="F4" s="1260"/>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row>
    <row r="6" spans="2:29" ht="30" customHeight="1">
      <c r="B6" s="346">
        <v>1</v>
      </c>
      <c r="C6" s="1163" t="s">
        <v>112</v>
      </c>
      <c r="D6" s="1163"/>
      <c r="E6" s="1163"/>
      <c r="F6" s="1163"/>
      <c r="G6" s="1164"/>
      <c r="H6" s="1021"/>
      <c r="I6" s="1022"/>
      <c r="J6" s="1022"/>
      <c r="K6" s="1022"/>
      <c r="L6" s="1022"/>
      <c r="M6" s="1022"/>
      <c r="N6" s="1022"/>
      <c r="O6" s="1022"/>
      <c r="P6" s="1022"/>
      <c r="Q6" s="1022"/>
      <c r="R6" s="1022"/>
      <c r="S6" s="1022"/>
      <c r="T6" s="1022"/>
      <c r="U6" s="1022"/>
      <c r="V6" s="1022"/>
      <c r="W6" s="1022"/>
      <c r="X6" s="1022"/>
      <c r="Y6" s="1022"/>
      <c r="Z6" s="1022"/>
      <c r="AA6" s="1022"/>
      <c r="AB6" s="1022"/>
      <c r="AC6" s="1023"/>
    </row>
    <row r="7" spans="2:29" ht="30" customHeight="1">
      <c r="B7" s="362">
        <v>2</v>
      </c>
      <c r="C7" s="1179" t="s">
        <v>65</v>
      </c>
      <c r="D7" s="1179"/>
      <c r="E7" s="1179"/>
      <c r="F7" s="1179"/>
      <c r="G7" s="1180"/>
      <c r="H7" s="15"/>
      <c r="I7" s="398" t="s">
        <v>194</v>
      </c>
      <c r="J7" s="364" t="s">
        <v>840</v>
      </c>
      <c r="K7" s="364"/>
      <c r="L7" s="364"/>
      <c r="M7" s="364"/>
      <c r="N7" s="398" t="s">
        <v>194</v>
      </c>
      <c r="O7" s="364" t="s">
        <v>841</v>
      </c>
      <c r="P7" s="364"/>
      <c r="Q7" s="364"/>
      <c r="R7" s="364"/>
      <c r="S7" s="398" t="s">
        <v>194</v>
      </c>
      <c r="T7" s="364" t="s">
        <v>842</v>
      </c>
      <c r="U7" s="364"/>
      <c r="V7" s="16"/>
      <c r="W7" s="16"/>
      <c r="X7" s="16"/>
      <c r="Y7" s="16"/>
      <c r="Z7" s="16"/>
      <c r="AC7" s="233"/>
    </row>
    <row r="8" spans="2:29" ht="30" customHeight="1">
      <c r="B8" s="1038">
        <v>3</v>
      </c>
      <c r="C8" s="1274" t="s">
        <v>66</v>
      </c>
      <c r="D8" s="1274"/>
      <c r="E8" s="1274"/>
      <c r="F8" s="1274"/>
      <c r="G8" s="1275"/>
      <c r="H8" s="300"/>
      <c r="I8" s="403" t="s">
        <v>194</v>
      </c>
      <c r="J8" s="2" t="s">
        <v>911</v>
      </c>
      <c r="K8" s="2"/>
      <c r="L8" s="2"/>
      <c r="M8" s="2"/>
      <c r="N8" s="2"/>
      <c r="O8" s="2"/>
      <c r="P8" s="2"/>
      <c r="Q8" s="403" t="s">
        <v>194</v>
      </c>
      <c r="R8" s="22" t="s">
        <v>912</v>
      </c>
      <c r="U8" s="2"/>
      <c r="AA8" s="57"/>
      <c r="AB8" s="57"/>
      <c r="AC8" s="58"/>
    </row>
    <row r="9" spans="2:29" ht="30" customHeight="1">
      <c r="B9" s="1158"/>
      <c r="C9" s="1276"/>
      <c r="D9" s="1276"/>
      <c r="E9" s="1276"/>
      <c r="F9" s="1276"/>
      <c r="G9" s="1277"/>
      <c r="H9" s="299"/>
      <c r="I9" s="416" t="s">
        <v>194</v>
      </c>
      <c r="J9" s="297" t="s">
        <v>913</v>
      </c>
      <c r="K9" s="297"/>
      <c r="L9" s="297"/>
      <c r="M9" s="297"/>
      <c r="N9" s="297"/>
      <c r="O9" s="297"/>
      <c r="P9" s="297"/>
      <c r="Q9" s="416" t="s">
        <v>194</v>
      </c>
      <c r="R9" s="297" t="s">
        <v>914</v>
      </c>
      <c r="S9" s="59"/>
      <c r="T9" s="59"/>
      <c r="U9" s="297"/>
      <c r="V9" s="59"/>
      <c r="W9" s="59"/>
      <c r="X9" s="59"/>
      <c r="Y9" s="59"/>
      <c r="Z9" s="59"/>
      <c r="AA9" s="59"/>
      <c r="AB9" s="59"/>
      <c r="AC9" s="60"/>
    </row>
    <row r="10" spans="2:29">
      <c r="B10" s="389"/>
      <c r="C10" s="57"/>
      <c r="D10" s="57"/>
      <c r="E10" s="57"/>
      <c r="F10" s="57"/>
      <c r="G10" s="58"/>
      <c r="H10" s="300"/>
      <c r="AC10" s="233"/>
    </row>
    <row r="11" spans="2:29">
      <c r="B11" s="243">
        <v>4</v>
      </c>
      <c r="C11" s="1028" t="s">
        <v>165</v>
      </c>
      <c r="D11" s="1028"/>
      <c r="E11" s="1028"/>
      <c r="F11" s="1028"/>
      <c r="G11" s="1029"/>
      <c r="H11" s="300"/>
      <c r="I11" s="3" t="s">
        <v>166</v>
      </c>
      <c r="AC11" s="233"/>
    </row>
    <row r="12" spans="2:29">
      <c r="B12" s="243"/>
      <c r="C12" s="1028"/>
      <c r="D12" s="1028"/>
      <c r="E12" s="1028"/>
      <c r="F12" s="1028"/>
      <c r="G12" s="1029"/>
      <c r="H12" s="300"/>
      <c r="AC12" s="233"/>
    </row>
    <row r="13" spans="2:29">
      <c r="B13" s="243"/>
      <c r="C13" s="1028"/>
      <c r="D13" s="1028"/>
      <c r="E13" s="1028"/>
      <c r="F13" s="1028"/>
      <c r="G13" s="1029"/>
      <c r="H13" s="300"/>
      <c r="I13" s="1161" t="s">
        <v>67</v>
      </c>
      <c r="J13" s="1161"/>
      <c r="K13" s="1161"/>
      <c r="L13" s="1161"/>
      <c r="M13" s="1161"/>
      <c r="N13" s="1161"/>
      <c r="O13" s="1038" t="s">
        <v>68</v>
      </c>
      <c r="P13" s="1039"/>
      <c r="Q13" s="1039"/>
      <c r="R13" s="1039"/>
      <c r="S13" s="1039"/>
      <c r="T13" s="1039"/>
      <c r="U13" s="1039"/>
      <c r="V13" s="1039"/>
      <c r="W13" s="1040"/>
      <c r="AC13" s="233"/>
    </row>
    <row r="14" spans="2:29">
      <c r="B14" s="243"/>
      <c r="G14" s="233"/>
      <c r="H14" s="300"/>
      <c r="I14" s="1161"/>
      <c r="J14" s="1161"/>
      <c r="K14" s="1161"/>
      <c r="L14" s="1161"/>
      <c r="M14" s="1161"/>
      <c r="N14" s="1161"/>
      <c r="O14" s="1158"/>
      <c r="P14" s="1159"/>
      <c r="Q14" s="1159"/>
      <c r="R14" s="1159"/>
      <c r="S14" s="1159"/>
      <c r="T14" s="1159"/>
      <c r="U14" s="1159"/>
      <c r="V14" s="1159"/>
      <c r="W14" s="1160"/>
      <c r="AC14" s="233"/>
    </row>
    <row r="15" spans="2:29" ht="13.5" customHeight="1">
      <c r="B15" s="243"/>
      <c r="G15" s="233"/>
      <c r="H15" s="300"/>
      <c r="I15" s="1038" t="s">
        <v>72</v>
      </c>
      <c r="J15" s="1039"/>
      <c r="K15" s="1039"/>
      <c r="L15" s="1039"/>
      <c r="M15" s="1039"/>
      <c r="N15" s="1040"/>
      <c r="O15" s="1038"/>
      <c r="P15" s="1039"/>
      <c r="Q15" s="1039"/>
      <c r="R15" s="1039"/>
      <c r="S15" s="1039"/>
      <c r="T15" s="1039"/>
      <c r="U15" s="1039"/>
      <c r="V15" s="1039"/>
      <c r="W15" s="1040"/>
      <c r="AC15" s="233"/>
    </row>
    <row r="16" spans="2:29">
      <c r="B16" s="243"/>
      <c r="G16" s="233"/>
      <c r="H16" s="300"/>
      <c r="I16" s="1158"/>
      <c r="J16" s="1159"/>
      <c r="K16" s="1159"/>
      <c r="L16" s="1159"/>
      <c r="M16" s="1159"/>
      <c r="N16" s="1160"/>
      <c r="O16" s="1158"/>
      <c r="P16" s="1159"/>
      <c r="Q16" s="1159"/>
      <c r="R16" s="1159"/>
      <c r="S16" s="1159"/>
      <c r="T16" s="1159"/>
      <c r="U16" s="1159"/>
      <c r="V16" s="1159"/>
      <c r="W16" s="1160"/>
      <c r="AC16" s="233"/>
    </row>
    <row r="17" spans="2:29">
      <c r="B17" s="243"/>
      <c r="G17" s="233"/>
      <c r="H17" s="300"/>
      <c r="I17" s="1038" t="s">
        <v>124</v>
      </c>
      <c r="J17" s="1039"/>
      <c r="K17" s="1039"/>
      <c r="L17" s="1039"/>
      <c r="M17" s="1039"/>
      <c r="N17" s="1040"/>
      <c r="O17" s="1038"/>
      <c r="P17" s="1039"/>
      <c r="Q17" s="1039"/>
      <c r="R17" s="1039"/>
      <c r="S17" s="1039"/>
      <c r="T17" s="1039"/>
      <c r="U17" s="1039"/>
      <c r="V17" s="1039"/>
      <c r="W17" s="1040"/>
      <c r="AC17" s="233"/>
    </row>
    <row r="18" spans="2:29">
      <c r="B18" s="243"/>
      <c r="G18" s="233"/>
      <c r="H18" s="300"/>
      <c r="I18" s="1158"/>
      <c r="J18" s="1159"/>
      <c r="K18" s="1159"/>
      <c r="L18" s="1159"/>
      <c r="M18" s="1159"/>
      <c r="N18" s="1160"/>
      <c r="O18" s="1158"/>
      <c r="P18" s="1159"/>
      <c r="Q18" s="1159"/>
      <c r="R18" s="1159"/>
      <c r="S18" s="1159"/>
      <c r="T18" s="1159"/>
      <c r="U18" s="1159"/>
      <c r="V18" s="1159"/>
      <c r="W18" s="1160"/>
      <c r="AC18" s="233"/>
    </row>
    <row r="19" spans="2:29">
      <c r="B19" s="243"/>
      <c r="G19" s="233"/>
      <c r="H19" s="300"/>
      <c r="I19" s="1161" t="s">
        <v>587</v>
      </c>
      <c r="J19" s="1161"/>
      <c r="K19" s="1161"/>
      <c r="L19" s="1161"/>
      <c r="M19" s="1161"/>
      <c r="N19" s="1161"/>
      <c r="O19" s="1038"/>
      <c r="P19" s="1039"/>
      <c r="Q19" s="1039"/>
      <c r="R19" s="1039"/>
      <c r="S19" s="1039"/>
      <c r="T19" s="1039"/>
      <c r="U19" s="1039"/>
      <c r="V19" s="1039"/>
      <c r="W19" s="1040"/>
      <c r="AC19" s="233"/>
    </row>
    <row r="20" spans="2:29">
      <c r="B20" s="243"/>
      <c r="G20" s="233"/>
      <c r="H20" s="300"/>
      <c r="I20" s="1161"/>
      <c r="J20" s="1161"/>
      <c r="K20" s="1161"/>
      <c r="L20" s="1161"/>
      <c r="M20" s="1161"/>
      <c r="N20" s="1161"/>
      <c r="O20" s="1158"/>
      <c r="P20" s="1159"/>
      <c r="Q20" s="1159"/>
      <c r="R20" s="1159"/>
      <c r="S20" s="1159"/>
      <c r="T20" s="1159"/>
      <c r="U20" s="1159"/>
      <c r="V20" s="1159"/>
      <c r="W20" s="1160"/>
      <c r="AC20" s="233"/>
    </row>
    <row r="21" spans="2:29">
      <c r="B21" s="243"/>
      <c r="G21" s="233"/>
      <c r="H21" s="300"/>
      <c r="I21" s="1161" t="s">
        <v>588</v>
      </c>
      <c r="J21" s="1161"/>
      <c r="K21" s="1161"/>
      <c r="L21" s="1161"/>
      <c r="M21" s="1161"/>
      <c r="N21" s="1161"/>
      <c r="O21" s="1038"/>
      <c r="P21" s="1039"/>
      <c r="Q21" s="1039"/>
      <c r="R21" s="1039"/>
      <c r="S21" s="1039"/>
      <c r="T21" s="1039"/>
      <c r="U21" s="1039"/>
      <c r="V21" s="1039"/>
      <c r="W21" s="1040"/>
      <c r="AC21" s="233"/>
    </row>
    <row r="22" spans="2:29">
      <c r="B22" s="243"/>
      <c r="G22" s="233"/>
      <c r="H22" s="300"/>
      <c r="I22" s="1161"/>
      <c r="J22" s="1161"/>
      <c r="K22" s="1161"/>
      <c r="L22" s="1161"/>
      <c r="M22" s="1161"/>
      <c r="N22" s="1161"/>
      <c r="O22" s="1158"/>
      <c r="P22" s="1159"/>
      <c r="Q22" s="1159"/>
      <c r="R22" s="1159"/>
      <c r="S22" s="1159"/>
      <c r="T22" s="1159"/>
      <c r="U22" s="1159"/>
      <c r="V22" s="1159"/>
      <c r="W22" s="1160"/>
      <c r="AC22" s="233"/>
    </row>
    <row r="23" spans="2:29">
      <c r="B23" s="243"/>
      <c r="G23" s="233"/>
      <c r="H23" s="300"/>
      <c r="I23" s="1161" t="s">
        <v>70</v>
      </c>
      <c r="J23" s="1161"/>
      <c r="K23" s="1161"/>
      <c r="L23" s="1161"/>
      <c r="M23" s="1161"/>
      <c r="N23" s="1161"/>
      <c r="O23" s="1038"/>
      <c r="P23" s="1039"/>
      <c r="Q23" s="1039"/>
      <c r="R23" s="1039"/>
      <c r="S23" s="1039"/>
      <c r="T23" s="1039"/>
      <c r="U23" s="1039"/>
      <c r="V23" s="1039"/>
      <c r="W23" s="1040"/>
      <c r="AC23" s="233"/>
    </row>
    <row r="24" spans="2:29">
      <c r="B24" s="243"/>
      <c r="G24" s="233"/>
      <c r="H24" s="300"/>
      <c r="I24" s="1161"/>
      <c r="J24" s="1161"/>
      <c r="K24" s="1161"/>
      <c r="L24" s="1161"/>
      <c r="M24" s="1161"/>
      <c r="N24" s="1161"/>
      <c r="O24" s="1158"/>
      <c r="P24" s="1159"/>
      <c r="Q24" s="1159"/>
      <c r="R24" s="1159"/>
      <c r="S24" s="1159"/>
      <c r="T24" s="1159"/>
      <c r="U24" s="1159"/>
      <c r="V24" s="1159"/>
      <c r="W24" s="1160"/>
      <c r="AC24" s="233"/>
    </row>
    <row r="25" spans="2:29">
      <c r="B25" s="243"/>
      <c r="G25" s="233"/>
      <c r="H25" s="300"/>
      <c r="I25" s="1161"/>
      <c r="J25" s="1161"/>
      <c r="K25" s="1161"/>
      <c r="L25" s="1161"/>
      <c r="M25" s="1161"/>
      <c r="N25" s="1161"/>
      <c r="O25" s="1038"/>
      <c r="P25" s="1039"/>
      <c r="Q25" s="1039"/>
      <c r="R25" s="1039"/>
      <c r="S25" s="1039"/>
      <c r="T25" s="1039"/>
      <c r="U25" s="1039"/>
      <c r="V25" s="1039"/>
      <c r="W25" s="1040"/>
      <c r="AC25" s="233"/>
    </row>
    <row r="26" spans="2:29">
      <c r="B26" s="243"/>
      <c r="G26" s="233"/>
      <c r="H26" s="300"/>
      <c r="I26" s="1161"/>
      <c r="J26" s="1161"/>
      <c r="K26" s="1161"/>
      <c r="L26" s="1161"/>
      <c r="M26" s="1161"/>
      <c r="N26" s="1161"/>
      <c r="O26" s="1158"/>
      <c r="P26" s="1159"/>
      <c r="Q26" s="1159"/>
      <c r="R26" s="1159"/>
      <c r="S26" s="1159"/>
      <c r="T26" s="1159"/>
      <c r="U26" s="1159"/>
      <c r="V26" s="1159"/>
      <c r="W26" s="1160"/>
      <c r="AC26" s="233"/>
    </row>
    <row r="27" spans="2:29">
      <c r="B27" s="243"/>
      <c r="G27" s="233"/>
      <c r="H27" s="300"/>
      <c r="I27" s="1161"/>
      <c r="J27" s="1161"/>
      <c r="K27" s="1161"/>
      <c r="L27" s="1161"/>
      <c r="M27" s="1161"/>
      <c r="N27" s="1161"/>
      <c r="O27" s="1038"/>
      <c r="P27" s="1039"/>
      <c r="Q27" s="1039"/>
      <c r="R27" s="1039"/>
      <c r="S27" s="1039"/>
      <c r="T27" s="1039"/>
      <c r="U27" s="1039"/>
      <c r="V27" s="1039"/>
      <c r="W27" s="1040"/>
      <c r="AC27" s="233"/>
    </row>
    <row r="28" spans="2:29">
      <c r="B28" s="243"/>
      <c r="G28" s="233"/>
      <c r="H28" s="300"/>
      <c r="I28" s="1161"/>
      <c r="J28" s="1161"/>
      <c r="K28" s="1161"/>
      <c r="L28" s="1161"/>
      <c r="M28" s="1161"/>
      <c r="N28" s="1161"/>
      <c r="O28" s="1158"/>
      <c r="P28" s="1159"/>
      <c r="Q28" s="1159"/>
      <c r="R28" s="1159"/>
      <c r="S28" s="1159"/>
      <c r="T28" s="1159"/>
      <c r="U28" s="1159"/>
      <c r="V28" s="1159"/>
      <c r="W28" s="1160"/>
      <c r="AC28" s="233"/>
    </row>
    <row r="29" spans="2:29">
      <c r="B29" s="243"/>
      <c r="G29" s="233"/>
      <c r="H29" s="300"/>
      <c r="I29" s="1161"/>
      <c r="J29" s="1161"/>
      <c r="K29" s="1161"/>
      <c r="L29" s="1161"/>
      <c r="M29" s="1161"/>
      <c r="N29" s="1161"/>
      <c r="O29" s="1038"/>
      <c r="P29" s="1039"/>
      <c r="Q29" s="1039"/>
      <c r="R29" s="1039"/>
      <c r="S29" s="1039"/>
      <c r="T29" s="1039"/>
      <c r="U29" s="1039"/>
      <c r="V29" s="1039"/>
      <c r="W29" s="1040"/>
      <c r="AC29" s="233"/>
    </row>
    <row r="30" spans="2:29">
      <c r="B30" s="243"/>
      <c r="G30" s="233"/>
      <c r="H30" s="300"/>
      <c r="I30" s="1161"/>
      <c r="J30" s="1161"/>
      <c r="K30" s="1161"/>
      <c r="L30" s="1161"/>
      <c r="M30" s="1161"/>
      <c r="N30" s="1161"/>
      <c r="O30" s="1158"/>
      <c r="P30" s="1159"/>
      <c r="Q30" s="1159"/>
      <c r="R30" s="1159"/>
      <c r="S30" s="1159"/>
      <c r="T30" s="1159"/>
      <c r="U30" s="1159"/>
      <c r="V30" s="1159"/>
      <c r="W30" s="1160"/>
      <c r="AC30" s="233"/>
    </row>
    <row r="31" spans="2:29">
      <c r="B31" s="243"/>
      <c r="G31" s="233"/>
      <c r="H31" s="300"/>
      <c r="I31" s="1161"/>
      <c r="J31" s="1161"/>
      <c r="K31" s="1161"/>
      <c r="L31" s="1161"/>
      <c r="M31" s="1161"/>
      <c r="N31" s="1161"/>
      <c r="O31" s="1038"/>
      <c r="P31" s="1039"/>
      <c r="Q31" s="1039"/>
      <c r="R31" s="1039"/>
      <c r="S31" s="1039"/>
      <c r="T31" s="1039"/>
      <c r="U31" s="1039"/>
      <c r="V31" s="1039"/>
      <c r="W31" s="1040"/>
      <c r="AC31" s="233"/>
    </row>
    <row r="32" spans="2:29">
      <c r="B32" s="243"/>
      <c r="G32" s="233"/>
      <c r="H32" s="300"/>
      <c r="I32" s="1161"/>
      <c r="J32" s="1161"/>
      <c r="K32" s="1161"/>
      <c r="L32" s="1161"/>
      <c r="M32" s="1161"/>
      <c r="N32" s="1161"/>
      <c r="O32" s="1158"/>
      <c r="P32" s="1159"/>
      <c r="Q32" s="1159"/>
      <c r="R32" s="1159"/>
      <c r="S32" s="1159"/>
      <c r="T32" s="1159"/>
      <c r="U32" s="1159"/>
      <c r="V32" s="1159"/>
      <c r="W32" s="1160"/>
      <c r="AC32" s="233"/>
    </row>
    <row r="33" spans="2:30">
      <c r="B33" s="388"/>
      <c r="C33" s="59"/>
      <c r="D33" s="59"/>
      <c r="E33" s="59"/>
      <c r="F33" s="59"/>
      <c r="G33" s="60"/>
      <c r="H33" s="299"/>
      <c r="I33" s="59"/>
      <c r="J33" s="59"/>
      <c r="K33" s="59"/>
      <c r="L33" s="59"/>
      <c r="M33" s="59"/>
      <c r="N33" s="59"/>
      <c r="O33" s="59"/>
      <c r="P33" s="59"/>
      <c r="Q33" s="59"/>
      <c r="R33" s="59"/>
      <c r="S33" s="59"/>
      <c r="T33" s="59"/>
      <c r="U33" s="59"/>
      <c r="V33" s="59"/>
      <c r="W33" s="59"/>
      <c r="X33" s="59"/>
      <c r="Y33" s="59"/>
      <c r="Z33" s="59"/>
      <c r="AA33" s="59"/>
      <c r="AB33" s="59"/>
      <c r="AC33" s="60"/>
    </row>
    <row r="34" spans="2:30">
      <c r="H34" s="345"/>
      <c r="I34" s="345"/>
      <c r="J34" s="345"/>
      <c r="K34" s="345"/>
      <c r="L34" s="345"/>
      <c r="M34" s="345"/>
      <c r="N34" s="345"/>
      <c r="O34" s="345"/>
      <c r="P34" s="345"/>
      <c r="Q34" s="345"/>
      <c r="R34" s="345"/>
      <c r="S34" s="345"/>
      <c r="T34" s="345"/>
      <c r="U34" s="345"/>
      <c r="V34" s="345"/>
      <c r="W34" s="345"/>
      <c r="X34" s="345"/>
      <c r="Y34" s="345"/>
      <c r="Z34" s="345"/>
      <c r="AA34" s="345"/>
      <c r="AB34" s="345"/>
      <c r="AC34" s="345"/>
    </row>
    <row r="35" spans="2:30" ht="6" customHeight="1"/>
    <row r="36" spans="2:30" ht="13.5" customHeight="1">
      <c r="B36" s="3" t="s">
        <v>239</v>
      </c>
      <c r="C36" s="1028" t="s">
        <v>652</v>
      </c>
      <c r="D36" s="1028"/>
      <c r="E36" s="1028"/>
      <c r="F36" s="1028"/>
      <c r="G36" s="1028"/>
      <c r="H36" s="1028"/>
      <c r="I36" s="1028"/>
      <c r="J36" s="1028"/>
      <c r="K36" s="1028"/>
      <c r="L36" s="1028"/>
      <c r="M36" s="1028"/>
      <c r="N36" s="1028"/>
      <c r="O36" s="1028"/>
      <c r="P36" s="1028"/>
      <c r="Q36" s="1028"/>
      <c r="R36" s="1028"/>
      <c r="S36" s="1028"/>
      <c r="T36" s="1028"/>
      <c r="U36" s="1028"/>
      <c r="V36" s="1028"/>
      <c r="W36" s="1028"/>
      <c r="X36" s="1028"/>
      <c r="Y36" s="1028"/>
      <c r="Z36" s="1028"/>
      <c r="AA36" s="1028"/>
      <c r="AB36" s="1028"/>
      <c r="AC36" s="1028"/>
      <c r="AD36" s="382"/>
    </row>
    <row r="37" spans="2:30">
      <c r="C37" s="1028"/>
      <c r="D37" s="1028"/>
      <c r="E37" s="1028"/>
      <c r="F37" s="1028"/>
      <c r="G37" s="1028"/>
      <c r="H37" s="1028"/>
      <c r="I37" s="1028"/>
      <c r="J37" s="1028"/>
      <c r="K37" s="1028"/>
      <c r="L37" s="1028"/>
      <c r="M37" s="1028"/>
      <c r="N37" s="1028"/>
      <c r="O37" s="1028"/>
      <c r="P37" s="1028"/>
      <c r="Q37" s="1028"/>
      <c r="R37" s="1028"/>
      <c r="S37" s="1028"/>
      <c r="T37" s="1028"/>
      <c r="U37" s="1028"/>
      <c r="V37" s="1028"/>
      <c r="W37" s="1028"/>
      <c r="X37" s="1028"/>
      <c r="Y37" s="1028"/>
      <c r="Z37" s="1028"/>
      <c r="AA37" s="1028"/>
      <c r="AB37" s="1028"/>
      <c r="AC37" s="1028"/>
      <c r="AD37" s="382"/>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3"/>
  <dataValidations count="1">
    <dataValidation type="list" allowBlank="1" showInputMessage="1" showErrorMessage="1" sqref="I7:I9 N7 Q8:Q9 S7" xr:uid="{04A36CD0-863D-4315-8139-E3671E9406C5}">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V75"/>
  <sheetViews>
    <sheetView view="pageBreakPreview" zoomScaleNormal="100" zoomScaleSheetLayoutView="100" workbookViewId="0">
      <selection activeCell="AA9" sqref="AA9"/>
    </sheetView>
  </sheetViews>
  <sheetFormatPr defaultColWidth="9" defaultRowHeight="12"/>
  <cols>
    <col min="1" max="1" width="1" style="130" customWidth="1"/>
    <col min="2" max="9" width="5.44140625" style="130" customWidth="1"/>
    <col min="10" max="11" width="3.77734375" style="130" customWidth="1"/>
    <col min="12" max="12" width="4.77734375" style="130" customWidth="1"/>
    <col min="13" max="13" width="5.44140625" style="130" customWidth="1"/>
    <col min="14" max="14" width="5" style="130" customWidth="1"/>
    <col min="15" max="15" width="4.77734375" style="130" customWidth="1"/>
    <col min="16" max="19" width="5.44140625" style="130" customWidth="1"/>
    <col min="20" max="20" width="1.33203125" style="130" customWidth="1"/>
    <col min="21" max="21" width="1.77734375" style="130" customWidth="1"/>
    <col min="22" max="54" width="5.44140625" style="130" customWidth="1"/>
    <col min="55" max="16384" width="9" style="130"/>
  </cols>
  <sheetData>
    <row r="1" spans="2:22">
      <c r="B1" s="130" t="s">
        <v>642</v>
      </c>
    </row>
    <row r="2" spans="2:22" ht="19.2">
      <c r="B2" s="1373" t="s">
        <v>442</v>
      </c>
      <c r="C2" s="1373"/>
      <c r="D2" s="1373"/>
      <c r="E2" s="1373"/>
      <c r="F2" s="1373"/>
      <c r="G2" s="1373"/>
      <c r="H2" s="1373"/>
      <c r="I2" s="1373"/>
      <c r="J2" s="1373"/>
      <c r="K2" s="1373"/>
      <c r="L2" s="1373"/>
      <c r="M2" s="1373"/>
      <c r="N2" s="1373"/>
      <c r="O2" s="1373"/>
      <c r="P2" s="1373"/>
      <c r="Q2" s="1373"/>
      <c r="R2" s="1373"/>
      <c r="S2" s="131"/>
    </row>
    <row r="4" spans="2:22" ht="13.2">
      <c r="B4" s="1374" t="s">
        <v>314</v>
      </c>
      <c r="C4" s="1375"/>
      <c r="D4" s="1378"/>
      <c r="E4" s="1379"/>
      <c r="F4" s="1379"/>
      <c r="G4" s="1379"/>
      <c r="H4" s="1379"/>
      <c r="I4" s="1379"/>
      <c r="J4" s="1379"/>
      <c r="K4" s="1379"/>
      <c r="L4" s="1380"/>
      <c r="M4" s="1384" t="s">
        <v>440</v>
      </c>
      <c r="N4" s="1385"/>
      <c r="O4" s="1386"/>
      <c r="P4" s="1386"/>
      <c r="Q4" s="1387"/>
    </row>
    <row r="5" spans="2:22" ht="13.2">
      <c r="B5" s="1376"/>
      <c r="C5" s="1377"/>
      <c r="D5" s="1381"/>
      <c r="E5" s="1382"/>
      <c r="F5" s="1382"/>
      <c r="G5" s="1382"/>
      <c r="H5" s="1382"/>
      <c r="I5" s="1382"/>
      <c r="J5" s="1382"/>
      <c r="K5" s="1382"/>
      <c r="L5" s="1383"/>
      <c r="M5" s="1388" t="s">
        <v>441</v>
      </c>
      <c r="N5" s="1389"/>
      <c r="O5" s="1390"/>
      <c r="P5" s="1390"/>
      <c r="Q5" s="1391"/>
    </row>
    <row r="6" spans="2:22" ht="6" customHeight="1"/>
    <row r="7" spans="2:22" ht="24" customHeight="1">
      <c r="B7" s="1365" t="s">
        <v>315</v>
      </c>
      <c r="C7" s="1365"/>
      <c r="D7" s="132" t="s">
        <v>316</v>
      </c>
      <c r="E7" s="166"/>
      <c r="F7" s="133" t="s">
        <v>97</v>
      </c>
      <c r="G7" s="1366" t="s">
        <v>317</v>
      </c>
      <c r="H7" s="1355"/>
      <c r="I7" s="134"/>
      <c r="J7" s="135" t="s">
        <v>97</v>
      </c>
      <c r="K7" s="135"/>
      <c r="L7" s="136" t="s">
        <v>194</v>
      </c>
      <c r="M7" s="1367" t="s">
        <v>318</v>
      </c>
      <c r="N7" s="1367"/>
      <c r="O7" s="136" t="s">
        <v>194</v>
      </c>
      <c r="P7" s="1367" t="s">
        <v>319</v>
      </c>
      <c r="Q7" s="1370"/>
      <c r="V7" s="137" t="s">
        <v>195</v>
      </c>
    </row>
    <row r="8" spans="2:22" ht="24" customHeight="1" thickBot="1">
      <c r="B8" s="1371" t="s">
        <v>320</v>
      </c>
      <c r="C8" s="1372"/>
      <c r="D8" s="138" t="s">
        <v>316</v>
      </c>
      <c r="E8" s="139"/>
      <c r="F8" s="140" t="s">
        <v>97</v>
      </c>
      <c r="G8" s="1366" t="s">
        <v>317</v>
      </c>
      <c r="H8" s="1355"/>
      <c r="I8" s="134"/>
      <c r="J8" s="135" t="s">
        <v>97</v>
      </c>
      <c r="K8" s="135"/>
      <c r="L8" s="136" t="s">
        <v>194</v>
      </c>
      <c r="M8" s="1367" t="s">
        <v>321</v>
      </c>
      <c r="N8" s="1367"/>
      <c r="O8" s="136" t="s">
        <v>194</v>
      </c>
      <c r="P8" s="1367" t="s">
        <v>322</v>
      </c>
      <c r="Q8" s="1370"/>
      <c r="V8" s="137" t="s">
        <v>196</v>
      </c>
    </row>
    <row r="9" spans="2:22" ht="24" customHeight="1" thickBot="1">
      <c r="B9" s="1353" t="s">
        <v>323</v>
      </c>
      <c r="C9" s="1354"/>
      <c r="D9" s="141" t="s">
        <v>316</v>
      </c>
      <c r="E9" s="142">
        <f>SUM(E7:E8)</f>
        <v>0</v>
      </c>
      <c r="F9" s="143" t="s">
        <v>97</v>
      </c>
      <c r="G9" s="1355" t="s">
        <v>317</v>
      </c>
      <c r="H9" s="1355"/>
      <c r="I9" s="144">
        <f>SUM(I7:I8)</f>
        <v>0</v>
      </c>
      <c r="J9" s="135" t="s">
        <v>97</v>
      </c>
      <c r="K9" s="135"/>
      <c r="L9" s="135" t="s">
        <v>324</v>
      </c>
      <c r="M9" s="135"/>
      <c r="N9" s="135"/>
      <c r="O9" s="145"/>
      <c r="P9" s="135"/>
      <c r="Q9" s="146"/>
      <c r="V9" s="137"/>
    </row>
    <row r="10" spans="2:22">
      <c r="B10" s="1407" t="s">
        <v>366</v>
      </c>
      <c r="C10" s="1407"/>
      <c r="D10" s="1407"/>
      <c r="E10" s="1407"/>
      <c r="F10" s="1407"/>
      <c r="G10" s="1407"/>
      <c r="H10" s="1407"/>
      <c r="I10" s="1407"/>
      <c r="J10" s="1407"/>
      <c r="K10" s="1407"/>
      <c r="L10" s="1407"/>
      <c r="M10" s="1407"/>
      <c r="N10" s="1407"/>
      <c r="O10" s="1407"/>
      <c r="P10" s="1407"/>
      <c r="Q10" s="1407"/>
      <c r="R10" s="1407"/>
      <c r="S10" s="1407"/>
    </row>
    <row r="11" spans="2:22">
      <c r="B11" s="1408"/>
      <c r="C11" s="1408"/>
      <c r="D11" s="1408"/>
      <c r="E11" s="1408"/>
      <c r="F11" s="1408"/>
      <c r="G11" s="1408"/>
      <c r="H11" s="1408"/>
      <c r="I11" s="1408"/>
      <c r="J11" s="1408"/>
      <c r="K11" s="1408"/>
      <c r="L11" s="1408"/>
      <c r="M11" s="1408"/>
      <c r="N11" s="1408"/>
      <c r="O11" s="1408"/>
      <c r="P11" s="1408"/>
      <c r="Q11" s="1408"/>
      <c r="R11" s="1408"/>
      <c r="S11" s="1408"/>
    </row>
    <row r="12" spans="2:22">
      <c r="B12" s="1356" t="s">
        <v>325</v>
      </c>
      <c r="C12" s="1357"/>
      <c r="D12" s="1358"/>
      <c r="E12" s="1356" t="s">
        <v>326</v>
      </c>
      <c r="F12" s="1357"/>
      <c r="G12" s="1357"/>
      <c r="H12" s="1357"/>
      <c r="I12" s="1358"/>
      <c r="J12" s="1356" t="s">
        <v>327</v>
      </c>
      <c r="K12" s="1357"/>
      <c r="L12" s="1357"/>
      <c r="M12" s="1356" t="s">
        <v>328</v>
      </c>
      <c r="N12" s="1358"/>
      <c r="O12" s="1442" t="s">
        <v>329</v>
      </c>
      <c r="P12" s="1442"/>
      <c r="Q12" s="1442"/>
      <c r="R12" s="1442"/>
      <c r="S12" s="1442"/>
    </row>
    <row r="13" spans="2:22">
      <c r="B13" s="1359"/>
      <c r="C13" s="1360"/>
      <c r="D13" s="1361"/>
      <c r="E13" s="1362"/>
      <c r="F13" s="1363"/>
      <c r="G13" s="1363"/>
      <c r="H13" s="1363"/>
      <c r="I13" s="1364"/>
      <c r="J13" s="1362"/>
      <c r="K13" s="1363"/>
      <c r="L13" s="1363"/>
      <c r="M13" s="1368" t="s">
        <v>330</v>
      </c>
      <c r="N13" s="1369"/>
      <c r="O13" s="1442"/>
      <c r="P13" s="1442"/>
      <c r="Q13" s="1442"/>
      <c r="R13" s="1442"/>
      <c r="S13" s="1442"/>
    </row>
    <row r="14" spans="2:22">
      <c r="B14" s="147" t="s">
        <v>238</v>
      </c>
      <c r="C14" s="148"/>
      <c r="D14" s="140"/>
      <c r="E14" s="1348" t="s">
        <v>426</v>
      </c>
      <c r="F14" s="1349"/>
      <c r="G14" s="1349"/>
      <c r="H14" s="1349"/>
      <c r="I14" s="1349"/>
      <c r="J14" s="1289">
        <v>1</v>
      </c>
      <c r="K14" s="1345"/>
      <c r="L14" s="1282" t="s">
        <v>97</v>
      </c>
      <c r="M14" s="1289"/>
      <c r="N14" s="1281" t="s">
        <v>97</v>
      </c>
      <c r="O14" s="1349"/>
      <c r="P14" s="1349"/>
      <c r="Q14" s="1349"/>
      <c r="R14" s="1349"/>
      <c r="S14" s="1349"/>
    </row>
    <row r="15" spans="2:22">
      <c r="B15" s="150"/>
      <c r="D15" s="151"/>
      <c r="E15" s="1348"/>
      <c r="F15" s="1349"/>
      <c r="G15" s="1349"/>
      <c r="H15" s="1349"/>
      <c r="I15" s="1349"/>
      <c r="J15" s="1283"/>
      <c r="K15" s="1284"/>
      <c r="L15" s="1311"/>
      <c r="M15" s="1283"/>
      <c r="N15" s="1287"/>
      <c r="O15" s="1349"/>
      <c r="P15" s="1349"/>
      <c r="Q15" s="1349"/>
      <c r="R15" s="1349"/>
      <c r="S15" s="1349"/>
    </row>
    <row r="16" spans="2:22">
      <c r="B16" s="152"/>
      <c r="C16" s="153"/>
      <c r="D16" s="154"/>
      <c r="E16" s="1348"/>
      <c r="F16" s="1349"/>
      <c r="G16" s="1349"/>
      <c r="H16" s="1349"/>
      <c r="I16" s="1349"/>
      <c r="J16" s="1285"/>
      <c r="K16" s="1286"/>
      <c r="L16" s="1326"/>
      <c r="M16" s="1285"/>
      <c r="N16" s="1288"/>
      <c r="O16" s="1349"/>
      <c r="P16" s="1349"/>
      <c r="Q16" s="1349"/>
      <c r="R16" s="1349"/>
      <c r="S16" s="1349"/>
    </row>
    <row r="17" spans="2:19">
      <c r="B17" s="147" t="s">
        <v>421</v>
      </c>
      <c r="C17" s="148"/>
      <c r="D17" s="140"/>
      <c r="E17" s="1348" t="s">
        <v>423</v>
      </c>
      <c r="F17" s="1349"/>
      <c r="G17" s="1349"/>
      <c r="H17" s="1349"/>
      <c r="I17" s="1349"/>
      <c r="J17" s="1289"/>
      <c r="K17" s="1345"/>
      <c r="L17" s="1282" t="s">
        <v>97</v>
      </c>
      <c r="M17" s="1289"/>
      <c r="N17" s="1281" t="s">
        <v>97</v>
      </c>
      <c r="O17" s="1349"/>
      <c r="P17" s="1349"/>
      <c r="Q17" s="1349"/>
      <c r="R17" s="1349"/>
      <c r="S17" s="1349"/>
    </row>
    <row r="18" spans="2:19">
      <c r="B18" s="150"/>
      <c r="D18" s="151"/>
      <c r="E18" s="1348"/>
      <c r="F18" s="1349"/>
      <c r="G18" s="1349"/>
      <c r="H18" s="1349"/>
      <c r="I18" s="1349"/>
      <c r="J18" s="1283"/>
      <c r="K18" s="1284"/>
      <c r="L18" s="1311"/>
      <c r="M18" s="1283"/>
      <c r="N18" s="1287"/>
      <c r="O18" s="1349"/>
      <c r="P18" s="1349"/>
      <c r="Q18" s="1349"/>
      <c r="R18" s="1349"/>
      <c r="S18" s="1349"/>
    </row>
    <row r="19" spans="2:19">
      <c r="B19" s="152"/>
      <c r="C19" s="153"/>
      <c r="D19" s="154"/>
      <c r="E19" s="1348"/>
      <c r="F19" s="1349"/>
      <c r="G19" s="1349"/>
      <c r="H19" s="1349"/>
      <c r="I19" s="1349"/>
      <c r="J19" s="1285"/>
      <c r="K19" s="1286"/>
      <c r="L19" s="1326"/>
      <c r="M19" s="1285"/>
      <c r="N19" s="1288"/>
      <c r="O19" s="1349"/>
      <c r="P19" s="1349"/>
      <c r="Q19" s="1349"/>
      <c r="R19" s="1349"/>
      <c r="S19" s="1349"/>
    </row>
    <row r="20" spans="2:19" ht="12" customHeight="1">
      <c r="B20" s="150" t="s">
        <v>331</v>
      </c>
      <c r="D20" s="151"/>
      <c r="E20" s="1392" t="s">
        <v>332</v>
      </c>
      <c r="F20" s="1393"/>
      <c r="G20" s="1393"/>
      <c r="H20" s="1393"/>
      <c r="I20" s="1394"/>
      <c r="J20" s="1319">
        <f>IF(E9&lt;=100,1,2)</f>
        <v>1</v>
      </c>
      <c r="K20" s="1320"/>
      <c r="L20" s="1282" t="s">
        <v>97</v>
      </c>
      <c r="M20" s="1289"/>
      <c r="N20" s="1281" t="s">
        <v>97</v>
      </c>
      <c r="O20" s="1349" t="s">
        <v>425</v>
      </c>
      <c r="P20" s="1349"/>
      <c r="Q20" s="1349"/>
      <c r="R20" s="1349"/>
      <c r="S20" s="1349"/>
    </row>
    <row r="21" spans="2:19">
      <c r="B21" s="150"/>
      <c r="D21" s="151"/>
      <c r="E21" s="1336"/>
      <c r="F21" s="1337"/>
      <c r="G21" s="1337"/>
      <c r="H21" s="1337"/>
      <c r="I21" s="1338"/>
      <c r="J21" s="1321"/>
      <c r="K21" s="1322"/>
      <c r="L21" s="1311"/>
      <c r="M21" s="1283"/>
      <c r="N21" s="1287"/>
      <c r="O21" s="1349"/>
      <c r="P21" s="1349"/>
      <c r="Q21" s="1349"/>
      <c r="R21" s="1349"/>
      <c r="S21" s="1349"/>
    </row>
    <row r="22" spans="2:19" ht="12" customHeight="1">
      <c r="B22" s="150"/>
      <c r="C22" s="1416" t="s">
        <v>438</v>
      </c>
      <c r="D22" s="1417"/>
      <c r="E22" s="1417"/>
      <c r="F22" s="1417"/>
      <c r="G22" s="1417"/>
      <c r="H22" s="1418"/>
      <c r="I22" s="160"/>
      <c r="J22" s="1321"/>
      <c r="K22" s="1322"/>
      <c r="L22" s="1311"/>
      <c r="M22" s="1283"/>
      <c r="N22" s="1287"/>
      <c r="O22" s="1349"/>
      <c r="P22" s="1349"/>
      <c r="Q22" s="1349"/>
      <c r="R22" s="1349"/>
      <c r="S22" s="1349"/>
    </row>
    <row r="23" spans="2:19" ht="12" customHeight="1">
      <c r="B23" s="150"/>
      <c r="C23" s="1419"/>
      <c r="D23" s="1420"/>
      <c r="E23" s="1420"/>
      <c r="F23" s="1420"/>
      <c r="G23" s="1420"/>
      <c r="H23" s="1421"/>
      <c r="I23" s="160"/>
      <c r="J23" s="1321"/>
      <c r="K23" s="1322"/>
      <c r="L23" s="1311"/>
      <c r="M23" s="1283"/>
      <c r="N23" s="1287"/>
      <c r="O23" s="1349"/>
      <c r="P23" s="1349"/>
      <c r="Q23" s="1349"/>
      <c r="R23" s="1349"/>
      <c r="S23" s="1349"/>
    </row>
    <row r="24" spans="2:19" ht="12" customHeight="1">
      <c r="B24" s="150"/>
      <c r="C24" s="1422"/>
      <c r="D24" s="1423"/>
      <c r="E24" s="1423"/>
      <c r="F24" s="1423"/>
      <c r="G24" s="1423"/>
      <c r="H24" s="1424"/>
      <c r="I24" s="160"/>
      <c r="J24" s="1321"/>
      <c r="K24" s="1322"/>
      <c r="L24" s="1311"/>
      <c r="M24" s="1283"/>
      <c r="N24" s="1287"/>
      <c r="O24" s="1349"/>
      <c r="P24" s="1349"/>
      <c r="Q24" s="1349"/>
      <c r="R24" s="1349"/>
      <c r="S24" s="1349"/>
    </row>
    <row r="25" spans="2:19">
      <c r="B25" s="152"/>
      <c r="C25" s="153"/>
      <c r="D25" s="154"/>
      <c r="E25" s="1278" t="s">
        <v>333</v>
      </c>
      <c r="F25" s="1279"/>
      <c r="G25" s="1279"/>
      <c r="H25" s="1279"/>
      <c r="I25" s="1312"/>
      <c r="J25" s="1440"/>
      <c r="K25" s="1441"/>
      <c r="L25" s="1326"/>
      <c r="M25" s="1285"/>
      <c r="N25" s="1288"/>
      <c r="O25" s="1349"/>
      <c r="P25" s="1349"/>
      <c r="Q25" s="1349"/>
      <c r="R25" s="1349"/>
      <c r="S25" s="1349"/>
    </row>
    <row r="26" spans="2:19" ht="12" customHeight="1">
      <c r="B26" s="147" t="s">
        <v>334</v>
      </c>
      <c r="C26" s="148"/>
      <c r="D26" s="140"/>
      <c r="E26" s="1392" t="s">
        <v>432</v>
      </c>
      <c r="F26" s="1393"/>
      <c r="G26" s="1393"/>
      <c r="H26" s="1393"/>
      <c r="I26" s="1394"/>
      <c r="J26" s="1319">
        <f>E9/3</f>
        <v>0</v>
      </c>
      <c r="K26" s="1320"/>
      <c r="L26" s="149"/>
      <c r="M26" s="1289"/>
      <c r="N26" s="1281" t="s">
        <v>97</v>
      </c>
      <c r="O26" s="1349" t="s">
        <v>443</v>
      </c>
      <c r="P26" s="1349"/>
      <c r="Q26" s="1349"/>
      <c r="R26" s="1349"/>
      <c r="S26" s="1349"/>
    </row>
    <row r="27" spans="2:19">
      <c r="B27" s="150"/>
      <c r="D27" s="151"/>
      <c r="E27" s="1336"/>
      <c r="F27" s="1337"/>
      <c r="G27" s="1337"/>
      <c r="H27" s="1337"/>
      <c r="I27" s="1338"/>
      <c r="J27" s="1346" t="s">
        <v>335</v>
      </c>
      <c r="K27" s="1347"/>
      <c r="L27" s="151"/>
      <c r="M27" s="1283"/>
      <c r="N27" s="1287"/>
      <c r="O27" s="1349"/>
      <c r="P27" s="1349"/>
      <c r="Q27" s="1349"/>
      <c r="R27" s="1349"/>
      <c r="S27" s="1349"/>
    </row>
    <row r="28" spans="2:19">
      <c r="B28" s="150"/>
      <c r="C28" s="201" t="s">
        <v>433</v>
      </c>
      <c r="D28" s="1411"/>
      <c r="E28" s="1411"/>
      <c r="F28" s="1411"/>
      <c r="G28" s="1411"/>
      <c r="H28" s="1412"/>
      <c r="I28" s="160"/>
      <c r="J28" s="1321">
        <f>ROUNDUP(J26,0)</f>
        <v>0</v>
      </c>
      <c r="K28" s="1322"/>
      <c r="L28" s="1311" t="s">
        <v>336</v>
      </c>
      <c r="M28" s="1283"/>
      <c r="N28" s="1287"/>
      <c r="O28" s="1349"/>
      <c r="P28" s="1349"/>
      <c r="Q28" s="1349"/>
      <c r="R28" s="1349"/>
      <c r="S28" s="1349"/>
    </row>
    <row r="29" spans="2:19">
      <c r="B29" s="150"/>
      <c r="C29" s="202" t="s">
        <v>434</v>
      </c>
      <c r="D29" s="1409"/>
      <c r="E29" s="1409"/>
      <c r="F29" s="1409"/>
      <c r="G29" s="1409"/>
      <c r="H29" s="1410"/>
      <c r="I29" s="160"/>
      <c r="J29" s="1321"/>
      <c r="K29" s="1322"/>
      <c r="L29" s="1311"/>
      <c r="M29" s="1283"/>
      <c r="N29" s="1287"/>
      <c r="O29" s="1349"/>
      <c r="P29" s="1349"/>
      <c r="Q29" s="1349"/>
      <c r="R29" s="1349"/>
      <c r="S29" s="1349"/>
    </row>
    <row r="30" spans="2:19">
      <c r="B30" s="150"/>
      <c r="D30" s="151"/>
      <c r="E30" s="1350" t="s">
        <v>333</v>
      </c>
      <c r="F30" s="1351"/>
      <c r="G30" s="1351"/>
      <c r="H30" s="1351"/>
      <c r="I30" s="1352"/>
      <c r="J30" s="1321"/>
      <c r="K30" s="1322"/>
      <c r="L30" s="1311"/>
      <c r="M30" s="1283"/>
      <c r="N30" s="1287"/>
      <c r="O30" s="1437"/>
      <c r="P30" s="1437"/>
      <c r="Q30" s="1437"/>
      <c r="R30" s="1437"/>
      <c r="S30" s="1437"/>
    </row>
    <row r="31" spans="2:19" ht="13.2">
      <c r="B31" s="150"/>
      <c r="C31" s="1425" t="s">
        <v>424</v>
      </c>
      <c r="D31" s="1426"/>
      <c r="E31" s="1427" t="s">
        <v>427</v>
      </c>
      <c r="F31" s="1428"/>
      <c r="G31" s="1428"/>
      <c r="H31" s="1428"/>
      <c r="I31" s="1429"/>
      <c r="J31" s="196"/>
      <c r="K31" s="197"/>
      <c r="L31" s="195"/>
      <c r="M31" s="196"/>
      <c r="N31" s="194"/>
      <c r="O31" s="1333" t="s">
        <v>439</v>
      </c>
      <c r="P31" s="1334"/>
      <c r="Q31" s="1334"/>
      <c r="R31" s="1334"/>
      <c r="S31" s="1335"/>
    </row>
    <row r="32" spans="2:19" ht="12" customHeight="1">
      <c r="B32" s="150"/>
      <c r="C32" s="198"/>
      <c r="D32" s="193"/>
      <c r="E32" s="1302" t="str">
        <f>IF($E$7&lt;=30,"■","□")</f>
        <v>■</v>
      </c>
      <c r="F32" s="1303" t="s">
        <v>337</v>
      </c>
      <c r="G32" s="1304"/>
      <c r="H32" s="1305"/>
      <c r="I32" s="1306">
        <f>IF(E32="□","",1)</f>
        <v>1</v>
      </c>
      <c r="J32" s="1309"/>
      <c r="K32" s="1310"/>
      <c r="L32" s="1311" t="s">
        <v>97</v>
      </c>
      <c r="M32" s="1339"/>
      <c r="N32" s="1287" t="s">
        <v>97</v>
      </c>
      <c r="O32" s="1336"/>
      <c r="P32" s="1337"/>
      <c r="Q32" s="1337"/>
      <c r="R32" s="1337"/>
      <c r="S32" s="1338"/>
    </row>
    <row r="33" spans="2:19" ht="12" customHeight="1">
      <c r="B33" s="150"/>
      <c r="C33" s="198"/>
      <c r="D33" s="193"/>
      <c r="E33" s="1290"/>
      <c r="F33" s="1291"/>
      <c r="G33" s="1292"/>
      <c r="H33" s="1293"/>
      <c r="I33" s="1294"/>
      <c r="J33" s="1309"/>
      <c r="K33" s="1310"/>
      <c r="L33" s="1311"/>
      <c r="M33" s="1339"/>
      <c r="N33" s="1287"/>
      <c r="O33" s="1336"/>
      <c r="P33" s="1337"/>
      <c r="Q33" s="1337"/>
      <c r="R33" s="1337"/>
      <c r="S33" s="1338"/>
    </row>
    <row r="34" spans="2:19" ht="12" customHeight="1">
      <c r="B34" s="150"/>
      <c r="C34" s="199"/>
      <c r="D34" s="151"/>
      <c r="E34" s="1290" t="str">
        <f>IF(AND($E$7&gt;=31,$E$7&lt;=50),"■","□")</f>
        <v>□</v>
      </c>
      <c r="F34" s="1291" t="s">
        <v>338</v>
      </c>
      <c r="G34" s="1292"/>
      <c r="H34" s="1293"/>
      <c r="I34" s="1294" t="str">
        <f>IF(E34="□","",2)</f>
        <v/>
      </c>
      <c r="J34" s="1309"/>
      <c r="K34" s="1310"/>
      <c r="L34" s="1311"/>
      <c r="M34" s="1339"/>
      <c r="N34" s="1287"/>
      <c r="O34" s="1336"/>
      <c r="P34" s="1337"/>
      <c r="Q34" s="1337"/>
      <c r="R34" s="1337"/>
      <c r="S34" s="1338"/>
    </row>
    <row r="35" spans="2:19" ht="12" customHeight="1">
      <c r="B35" s="150"/>
      <c r="C35" s="199"/>
      <c r="D35" s="151"/>
      <c r="E35" s="1290"/>
      <c r="F35" s="1291"/>
      <c r="G35" s="1292"/>
      <c r="H35" s="1293"/>
      <c r="I35" s="1294"/>
      <c r="J35" s="1309"/>
      <c r="K35" s="1310"/>
      <c r="L35" s="1311"/>
      <c r="M35" s="1339"/>
      <c r="N35" s="1287"/>
      <c r="O35" s="1336"/>
      <c r="P35" s="1337"/>
      <c r="Q35" s="1337"/>
      <c r="R35" s="1337"/>
      <c r="S35" s="1338"/>
    </row>
    <row r="36" spans="2:19" ht="12" customHeight="1">
      <c r="B36" s="150"/>
      <c r="C36" s="199"/>
      <c r="D36" s="151"/>
      <c r="E36" s="1290" t="str">
        <f>IF(AND($E$7&gt;=51,$E$7&lt;=130),"■","□")</f>
        <v>□</v>
      </c>
      <c r="F36" s="1291" t="s">
        <v>339</v>
      </c>
      <c r="G36" s="1292"/>
      <c r="H36" s="1293"/>
      <c r="I36" s="1294" t="str">
        <f>IF(E36="□","",3)</f>
        <v/>
      </c>
      <c r="J36" s="1309"/>
      <c r="K36" s="1310"/>
      <c r="L36" s="1311"/>
      <c r="M36" s="1339"/>
      <c r="N36" s="1287"/>
      <c r="O36" s="1336"/>
      <c r="P36" s="1337"/>
      <c r="Q36" s="1337"/>
      <c r="R36" s="1337"/>
      <c r="S36" s="1338"/>
    </row>
    <row r="37" spans="2:19" ht="12" customHeight="1">
      <c r="B37" s="150"/>
      <c r="C37" s="199"/>
      <c r="D37" s="151"/>
      <c r="E37" s="1290"/>
      <c r="F37" s="1291"/>
      <c r="G37" s="1292"/>
      <c r="H37" s="1293"/>
      <c r="I37" s="1294"/>
      <c r="J37" s="1309"/>
      <c r="K37" s="1310"/>
      <c r="L37" s="1311"/>
      <c r="M37" s="1339"/>
      <c r="N37" s="1287"/>
      <c r="O37" s="1336"/>
      <c r="P37" s="1337"/>
      <c r="Q37" s="1337"/>
      <c r="R37" s="1337"/>
      <c r="S37" s="1338"/>
    </row>
    <row r="38" spans="2:19" ht="12" customHeight="1">
      <c r="B38" s="150"/>
      <c r="C38" s="199"/>
      <c r="D38" s="151"/>
      <c r="E38" s="1340" t="str">
        <f>IF($E$7&gt;=131,"■","□")</f>
        <v>□</v>
      </c>
      <c r="F38" s="1291" t="s">
        <v>340</v>
      </c>
      <c r="G38" s="1292"/>
      <c r="H38" s="1293"/>
      <c r="I38" s="1300" t="str">
        <f>IF(E38="□","","備考欄参照")</f>
        <v/>
      </c>
      <c r="J38" s="1309"/>
      <c r="K38" s="1310"/>
      <c r="L38" s="1311"/>
      <c r="M38" s="1339"/>
      <c r="N38" s="1287"/>
      <c r="O38" s="1336"/>
      <c r="P38" s="1337"/>
      <c r="Q38" s="1337"/>
      <c r="R38" s="1337"/>
      <c r="S38" s="1338"/>
    </row>
    <row r="39" spans="2:19" ht="12" customHeight="1">
      <c r="B39" s="150"/>
      <c r="C39" s="199"/>
      <c r="D39" s="151"/>
      <c r="E39" s="1340"/>
      <c r="F39" s="1291"/>
      <c r="G39" s="1292"/>
      <c r="H39" s="1293"/>
      <c r="I39" s="1300"/>
      <c r="J39" s="1309"/>
      <c r="K39" s="1310"/>
      <c r="L39" s="1311"/>
      <c r="M39" s="1339"/>
      <c r="N39" s="1287"/>
      <c r="O39" s="192" t="s">
        <v>341</v>
      </c>
      <c r="P39" s="159"/>
      <c r="Q39" s="159"/>
      <c r="R39" s="159"/>
      <c r="S39" s="160"/>
    </row>
    <row r="40" spans="2:19" ht="12" customHeight="1">
      <c r="B40" s="150"/>
      <c r="C40" s="199"/>
      <c r="D40" s="151"/>
      <c r="E40" s="1340"/>
      <c r="F40" s="1291"/>
      <c r="G40" s="1292"/>
      <c r="H40" s="1293"/>
      <c r="I40" s="1300"/>
      <c r="J40" s="1309"/>
      <c r="K40" s="1310"/>
      <c r="L40" s="1311"/>
      <c r="M40" s="1339"/>
      <c r="N40" s="1287"/>
      <c r="O40" s="192" t="s">
        <v>342</v>
      </c>
      <c r="P40" s="159"/>
      <c r="Q40" s="159"/>
      <c r="R40" s="159"/>
      <c r="S40" s="160"/>
    </row>
    <row r="41" spans="2:19" ht="12" customHeight="1">
      <c r="B41" s="150"/>
      <c r="C41" s="199"/>
      <c r="D41" s="151"/>
      <c r="E41" s="1341"/>
      <c r="F41" s="1297"/>
      <c r="G41" s="1298"/>
      <c r="H41" s="1299"/>
      <c r="I41" s="1301"/>
      <c r="J41" s="1309"/>
      <c r="K41" s="1310"/>
      <c r="L41" s="1311"/>
      <c r="M41" s="1339"/>
      <c r="N41" s="1287"/>
      <c r="O41" s="192" t="s">
        <v>343</v>
      </c>
      <c r="P41" s="159"/>
      <c r="Q41" s="159"/>
      <c r="R41" s="159"/>
      <c r="S41" s="160"/>
    </row>
    <row r="42" spans="2:19">
      <c r="B42" s="150"/>
      <c r="C42" s="200"/>
      <c r="D42" s="154"/>
      <c r="E42" s="1342" t="s">
        <v>345</v>
      </c>
      <c r="F42" s="1343"/>
      <c r="G42" s="1343"/>
      <c r="H42" s="1343"/>
      <c r="I42" s="1343"/>
      <c r="J42" s="152"/>
      <c r="K42" s="153"/>
      <c r="L42" s="154"/>
      <c r="M42" s="152"/>
      <c r="N42" s="153"/>
      <c r="O42" s="210" t="s">
        <v>344</v>
      </c>
      <c r="P42" s="156"/>
      <c r="Q42" s="156"/>
      <c r="R42" s="156"/>
      <c r="S42" s="157"/>
    </row>
    <row r="43" spans="2:19" ht="12" customHeight="1">
      <c r="B43" s="147" t="s">
        <v>346</v>
      </c>
      <c r="C43" s="148"/>
      <c r="D43" s="140"/>
      <c r="E43" s="130" t="s">
        <v>347</v>
      </c>
      <c r="J43" s="1344">
        <v>1</v>
      </c>
      <c r="K43" s="1328"/>
      <c r="L43" s="1311" t="s">
        <v>97</v>
      </c>
      <c r="M43" s="1289"/>
      <c r="N43" s="1282" t="s">
        <v>97</v>
      </c>
      <c r="O43" s="1413"/>
      <c r="P43" s="1413"/>
      <c r="Q43" s="1413"/>
      <c r="R43" s="1413"/>
      <c r="S43" s="1413"/>
    </row>
    <row r="44" spans="2:19">
      <c r="B44" s="150"/>
      <c r="D44" s="151"/>
      <c r="J44" s="1344"/>
      <c r="K44" s="1328"/>
      <c r="L44" s="1311"/>
      <c r="M44" s="1283"/>
      <c r="N44" s="1311"/>
      <c r="O44" s="1414"/>
      <c r="P44" s="1414"/>
      <c r="Q44" s="1414"/>
      <c r="R44" s="1414"/>
      <c r="S44" s="1414"/>
    </row>
    <row r="45" spans="2:19">
      <c r="B45" s="150"/>
      <c r="D45" s="151"/>
      <c r="E45" s="1330" t="s">
        <v>348</v>
      </c>
      <c r="F45" s="1331"/>
      <c r="G45" s="1331"/>
      <c r="H45" s="1331"/>
      <c r="I45" s="1332"/>
      <c r="J45" s="1344"/>
      <c r="K45" s="1328"/>
      <c r="L45" s="1311"/>
      <c r="M45" s="1283"/>
      <c r="N45" s="1311"/>
      <c r="O45" s="1415"/>
      <c r="P45" s="1415"/>
      <c r="Q45" s="1415"/>
      <c r="R45" s="1415"/>
      <c r="S45" s="1415"/>
    </row>
    <row r="46" spans="2:19">
      <c r="B46" s="150"/>
      <c r="C46" s="1430" t="s">
        <v>422</v>
      </c>
      <c r="D46" s="1431"/>
      <c r="E46" s="194"/>
      <c r="F46" s="194"/>
      <c r="G46" s="194"/>
      <c r="H46" s="194"/>
      <c r="I46" s="195"/>
      <c r="J46" s="1323"/>
      <c r="K46" s="1324"/>
      <c r="L46" s="1325" t="s">
        <v>97</v>
      </c>
      <c r="M46" s="1323"/>
      <c r="N46" s="1325" t="s">
        <v>97</v>
      </c>
      <c r="O46" s="1438" t="s">
        <v>635</v>
      </c>
      <c r="P46" s="1438"/>
      <c r="Q46" s="1438"/>
      <c r="R46" s="1438"/>
      <c r="S46" s="1438"/>
    </row>
    <row r="47" spans="2:19">
      <c r="B47" s="150"/>
      <c r="C47" s="1432"/>
      <c r="D47" s="1433"/>
      <c r="I47" s="151"/>
      <c r="J47" s="1283"/>
      <c r="K47" s="1284"/>
      <c r="L47" s="1311"/>
      <c r="M47" s="1283"/>
      <c r="N47" s="1311"/>
      <c r="O47" s="1439"/>
      <c r="P47" s="1439"/>
      <c r="Q47" s="1439"/>
      <c r="R47" s="1439"/>
      <c r="S47" s="1439"/>
    </row>
    <row r="48" spans="2:19">
      <c r="B48" s="150"/>
      <c r="C48" s="1432"/>
      <c r="D48" s="1433"/>
      <c r="I48" s="151"/>
      <c r="J48" s="1283"/>
      <c r="K48" s="1284"/>
      <c r="L48" s="1311"/>
      <c r="M48" s="1283"/>
      <c r="N48" s="1311"/>
      <c r="O48" s="1439"/>
      <c r="P48" s="1439"/>
      <c r="Q48" s="1439"/>
      <c r="R48" s="1439"/>
      <c r="S48" s="1439"/>
    </row>
    <row r="49" spans="2:19">
      <c r="B49" s="150"/>
      <c r="C49" s="1434"/>
      <c r="D49" s="1433"/>
      <c r="I49" s="151"/>
      <c r="J49" s="1283"/>
      <c r="K49" s="1284"/>
      <c r="L49" s="1311"/>
      <c r="M49" s="1283"/>
      <c r="N49" s="1311"/>
      <c r="O49" s="1349"/>
      <c r="P49" s="1349"/>
      <c r="Q49" s="1349"/>
      <c r="R49" s="1349"/>
      <c r="S49" s="1349"/>
    </row>
    <row r="50" spans="2:19">
      <c r="B50" s="150"/>
      <c r="C50" s="1434"/>
      <c r="D50" s="1433"/>
      <c r="I50" s="151"/>
      <c r="J50" s="1283"/>
      <c r="K50" s="1284"/>
      <c r="L50" s="1311"/>
      <c r="M50" s="1283"/>
      <c r="N50" s="1311"/>
      <c r="O50" s="1349"/>
      <c r="P50" s="1349"/>
      <c r="Q50" s="1349"/>
      <c r="R50" s="1349"/>
      <c r="S50" s="1349"/>
    </row>
    <row r="51" spans="2:19">
      <c r="B51" s="152"/>
      <c r="C51" s="1435"/>
      <c r="D51" s="1436"/>
      <c r="E51" s="153"/>
      <c r="F51" s="153"/>
      <c r="G51" s="153"/>
      <c r="H51" s="153"/>
      <c r="I51" s="154"/>
      <c r="J51" s="1285"/>
      <c r="K51" s="1286"/>
      <c r="L51" s="1326"/>
      <c r="M51" s="1285"/>
      <c r="N51" s="1326"/>
      <c r="O51" s="1349"/>
      <c r="P51" s="1349"/>
      <c r="Q51" s="1349"/>
      <c r="R51" s="1349"/>
      <c r="S51" s="1349"/>
    </row>
    <row r="52" spans="2:19">
      <c r="B52" s="147" t="s">
        <v>349</v>
      </c>
      <c r="C52" s="148"/>
      <c r="D52" s="140"/>
      <c r="E52" s="147" t="s">
        <v>347</v>
      </c>
      <c r="F52" s="148"/>
      <c r="G52" s="148"/>
      <c r="H52" s="148"/>
      <c r="I52" s="140"/>
      <c r="J52" s="1327">
        <v>1</v>
      </c>
      <c r="K52" s="1327"/>
      <c r="L52" s="1282" t="s">
        <v>97</v>
      </c>
      <c r="M52" s="1289"/>
      <c r="N52" s="1282" t="s">
        <v>97</v>
      </c>
      <c r="O52" s="1349" t="s">
        <v>428</v>
      </c>
      <c r="P52" s="1349"/>
      <c r="Q52" s="1349"/>
      <c r="R52" s="1349"/>
      <c r="S52" s="1349"/>
    </row>
    <row r="53" spans="2:19">
      <c r="B53" s="150"/>
      <c r="D53" s="151"/>
      <c r="E53" s="150"/>
      <c r="I53" s="151"/>
      <c r="J53" s="1328"/>
      <c r="K53" s="1328"/>
      <c r="L53" s="1311"/>
      <c r="M53" s="1283"/>
      <c r="N53" s="1311"/>
      <c r="O53" s="1349"/>
      <c r="P53" s="1349"/>
      <c r="Q53" s="1349"/>
      <c r="R53" s="1349"/>
      <c r="S53" s="1349"/>
    </row>
    <row r="54" spans="2:19">
      <c r="B54" s="150"/>
      <c r="C54" s="1404" t="s">
        <v>431</v>
      </c>
      <c r="D54" s="1405"/>
      <c r="E54" s="1405"/>
      <c r="F54" s="1405"/>
      <c r="G54" s="1405"/>
      <c r="H54" s="1406"/>
      <c r="I54" s="151"/>
      <c r="J54" s="1328"/>
      <c r="K54" s="1328"/>
      <c r="L54" s="1311"/>
      <c r="M54" s="1283"/>
      <c r="N54" s="1311"/>
      <c r="O54" s="1349"/>
      <c r="P54" s="1349"/>
      <c r="Q54" s="1349"/>
      <c r="R54" s="1349"/>
      <c r="S54" s="1349"/>
    </row>
    <row r="55" spans="2:19">
      <c r="B55" s="152"/>
      <c r="C55" s="153"/>
      <c r="D55" s="154"/>
      <c r="E55" s="1278" t="s">
        <v>333</v>
      </c>
      <c r="F55" s="1279"/>
      <c r="G55" s="1279"/>
      <c r="H55" s="1279"/>
      <c r="I55" s="1312"/>
      <c r="J55" s="1329"/>
      <c r="K55" s="1329"/>
      <c r="L55" s="1326"/>
      <c r="M55" s="1285"/>
      <c r="N55" s="1326"/>
      <c r="O55" s="1349"/>
      <c r="P55" s="1349"/>
      <c r="Q55" s="1349"/>
      <c r="R55" s="1349"/>
      <c r="S55" s="1349"/>
    </row>
    <row r="56" spans="2:19" ht="12" customHeight="1">
      <c r="B56" s="147" t="s">
        <v>350</v>
      </c>
      <c r="C56" s="148"/>
      <c r="D56" s="140"/>
      <c r="E56" s="1313" t="s">
        <v>351</v>
      </c>
      <c r="F56" s="1314"/>
      <c r="G56" s="1314"/>
      <c r="H56" s="1314"/>
      <c r="I56" s="1315"/>
      <c r="J56" s="1319">
        <f>IF(E7&lt;=100,1,2)</f>
        <v>1</v>
      </c>
      <c r="K56" s="1320"/>
      <c r="L56" s="1282" t="s">
        <v>97</v>
      </c>
      <c r="M56" s="1289"/>
      <c r="N56" s="1281" t="s">
        <v>97</v>
      </c>
      <c r="O56" s="1349"/>
      <c r="P56" s="1349"/>
      <c r="Q56" s="1349"/>
      <c r="R56" s="1349"/>
      <c r="S56" s="1349"/>
    </row>
    <row r="57" spans="2:19">
      <c r="B57" s="150"/>
      <c r="D57" s="151"/>
      <c r="E57" s="1316"/>
      <c r="F57" s="1317"/>
      <c r="G57" s="1317"/>
      <c r="H57" s="1317"/>
      <c r="I57" s="1318"/>
      <c r="J57" s="1321"/>
      <c r="K57" s="1322"/>
      <c r="L57" s="1311"/>
      <c r="M57" s="1283"/>
      <c r="N57" s="1287"/>
      <c r="O57" s="1349"/>
      <c r="P57" s="1349"/>
      <c r="Q57" s="1349"/>
      <c r="R57" s="1349"/>
      <c r="S57" s="1349"/>
    </row>
    <row r="58" spans="2:19">
      <c r="B58" s="150"/>
      <c r="C58" s="1395" t="s">
        <v>429</v>
      </c>
      <c r="D58" s="1396"/>
      <c r="E58" s="1396"/>
      <c r="F58" s="1396"/>
      <c r="G58" s="1396"/>
      <c r="H58" s="1397"/>
      <c r="I58" s="161"/>
      <c r="J58" s="1321"/>
      <c r="K58" s="1322"/>
      <c r="L58" s="1311"/>
      <c r="M58" s="1283"/>
      <c r="N58" s="1287"/>
      <c r="O58" s="1437"/>
      <c r="P58" s="1437"/>
      <c r="Q58" s="1437"/>
      <c r="R58" s="1437"/>
      <c r="S58" s="1437"/>
    </row>
    <row r="59" spans="2:19">
      <c r="B59" s="150"/>
      <c r="C59" s="1398"/>
      <c r="D59" s="1399"/>
      <c r="E59" s="1399"/>
      <c r="F59" s="1399"/>
      <c r="G59" s="1399"/>
      <c r="H59" s="1400"/>
      <c r="I59" s="161"/>
      <c r="J59" s="1321"/>
      <c r="K59" s="1322"/>
      <c r="L59" s="1311"/>
      <c r="M59" s="1283"/>
      <c r="N59" s="1287"/>
      <c r="O59" s="1437"/>
      <c r="P59" s="1437"/>
      <c r="Q59" s="1437"/>
      <c r="R59" s="1437"/>
      <c r="S59" s="1437"/>
    </row>
    <row r="60" spans="2:19">
      <c r="B60" s="150"/>
      <c r="C60" s="1401"/>
      <c r="D60" s="1402"/>
      <c r="E60" s="1402"/>
      <c r="F60" s="1402"/>
      <c r="G60" s="1402"/>
      <c r="H60" s="1403"/>
      <c r="I60" s="161"/>
      <c r="J60" s="1321"/>
      <c r="K60" s="1322"/>
      <c r="L60" s="1311"/>
      <c r="M60" s="1283"/>
      <c r="N60" s="1287"/>
      <c r="O60" s="1437"/>
      <c r="P60" s="1437"/>
      <c r="Q60" s="1437"/>
      <c r="R60" s="1437"/>
      <c r="S60" s="1437"/>
    </row>
    <row r="61" spans="2:19">
      <c r="B61" s="152"/>
      <c r="C61" s="153"/>
      <c r="D61" s="154"/>
      <c r="E61" s="1278"/>
      <c r="F61" s="1279"/>
      <c r="G61" s="1279"/>
      <c r="H61" s="1279"/>
      <c r="I61" s="1312"/>
      <c r="J61" s="1321"/>
      <c r="K61" s="1322"/>
      <c r="L61" s="1311"/>
      <c r="M61" s="1285"/>
      <c r="N61" s="1288"/>
      <c r="O61" s="1437"/>
      <c r="P61" s="1437"/>
      <c r="Q61" s="1437"/>
      <c r="R61" s="1437"/>
      <c r="S61" s="1437"/>
    </row>
    <row r="62" spans="2:19" ht="12" customHeight="1">
      <c r="B62" s="147" t="s">
        <v>352</v>
      </c>
      <c r="C62" s="148"/>
      <c r="D62" s="162" t="s">
        <v>353</v>
      </c>
      <c r="E62" s="1302" t="str">
        <f>IF(AND($E$9&gt;=26,$E$9&lt;=60),"■","□")</f>
        <v>□</v>
      </c>
      <c r="F62" s="1303" t="s">
        <v>354</v>
      </c>
      <c r="G62" s="1304"/>
      <c r="H62" s="1305"/>
      <c r="I62" s="1306" t="str">
        <f>IF(E62="□","",2)</f>
        <v/>
      </c>
      <c r="J62" s="1307"/>
      <c r="K62" s="1308"/>
      <c r="L62" s="1282" t="s">
        <v>97</v>
      </c>
      <c r="M62" s="1307"/>
      <c r="N62" s="1281" t="s">
        <v>97</v>
      </c>
      <c r="O62" s="1392" t="s">
        <v>355</v>
      </c>
      <c r="P62" s="1393"/>
      <c r="Q62" s="1393"/>
      <c r="R62" s="1393"/>
      <c r="S62" s="1394"/>
    </row>
    <row r="63" spans="2:19" ht="12" customHeight="1">
      <c r="B63" s="150"/>
      <c r="D63" s="163"/>
      <c r="E63" s="1290"/>
      <c r="F63" s="1291"/>
      <c r="G63" s="1292"/>
      <c r="H63" s="1293"/>
      <c r="I63" s="1294"/>
      <c r="J63" s="1309"/>
      <c r="K63" s="1310"/>
      <c r="L63" s="1311"/>
      <c r="M63" s="1309"/>
      <c r="N63" s="1287"/>
      <c r="O63" s="1336"/>
      <c r="P63" s="1337"/>
      <c r="Q63" s="1337"/>
      <c r="R63" s="1337"/>
      <c r="S63" s="1338"/>
    </row>
    <row r="64" spans="2:19" ht="12" customHeight="1">
      <c r="B64" s="150"/>
      <c r="D64" s="151"/>
      <c r="E64" s="1290" t="str">
        <f>IF(AND($E$9&gt;=61,$E$9&lt;=80),"■","□")</f>
        <v>□</v>
      </c>
      <c r="F64" s="1291" t="s">
        <v>356</v>
      </c>
      <c r="G64" s="1292"/>
      <c r="H64" s="1293"/>
      <c r="I64" s="1294" t="str">
        <f>IF(E64="□","",3)</f>
        <v/>
      </c>
      <c r="J64" s="1309"/>
      <c r="K64" s="1310"/>
      <c r="L64" s="1311"/>
      <c r="M64" s="1309"/>
      <c r="N64" s="1287"/>
      <c r="O64" s="1336"/>
      <c r="P64" s="1337"/>
      <c r="Q64" s="1337"/>
      <c r="R64" s="1337"/>
      <c r="S64" s="1338"/>
    </row>
    <row r="65" spans="2:19" ht="12" customHeight="1">
      <c r="B65" s="150"/>
      <c r="D65" s="151"/>
      <c r="E65" s="1290"/>
      <c r="F65" s="1291"/>
      <c r="G65" s="1292"/>
      <c r="H65" s="1293"/>
      <c r="I65" s="1294"/>
      <c r="J65" s="1309"/>
      <c r="K65" s="1310"/>
      <c r="L65" s="1311"/>
      <c r="M65" s="1309"/>
      <c r="N65" s="1287"/>
      <c r="O65" s="1336"/>
      <c r="P65" s="1337"/>
      <c r="Q65" s="1337"/>
      <c r="R65" s="1337"/>
      <c r="S65" s="1338"/>
    </row>
    <row r="66" spans="2:19" ht="12" customHeight="1">
      <c r="B66" s="150"/>
      <c r="D66" s="151"/>
      <c r="E66" s="1290" t="str">
        <f>IF(AND($E$9&gt;=81,$E$9&lt;=100),"■","□")</f>
        <v>□</v>
      </c>
      <c r="F66" s="1291" t="s">
        <v>357</v>
      </c>
      <c r="G66" s="1292"/>
      <c r="H66" s="1293"/>
      <c r="I66" s="1294" t="str">
        <f>IF(E66="□","",4)</f>
        <v/>
      </c>
      <c r="J66" s="1309"/>
      <c r="K66" s="1310"/>
      <c r="L66" s="1311"/>
      <c r="M66" s="1309"/>
      <c r="N66" s="1287"/>
      <c r="O66" s="1336"/>
      <c r="P66" s="1337"/>
      <c r="Q66" s="1337"/>
      <c r="R66" s="1337"/>
      <c r="S66" s="1338"/>
    </row>
    <row r="67" spans="2:19" ht="12" customHeight="1">
      <c r="B67" s="150"/>
      <c r="D67" s="151"/>
      <c r="E67" s="1290"/>
      <c r="F67" s="1291"/>
      <c r="G67" s="1292"/>
      <c r="H67" s="1293"/>
      <c r="I67" s="1294"/>
      <c r="J67" s="1309"/>
      <c r="K67" s="1310"/>
      <c r="L67" s="1311"/>
      <c r="M67" s="1309"/>
      <c r="N67" s="1287"/>
      <c r="O67" s="192" t="s">
        <v>359</v>
      </c>
      <c r="P67" s="159"/>
      <c r="Q67" s="159"/>
      <c r="R67" s="159"/>
      <c r="S67" s="160"/>
    </row>
    <row r="68" spans="2:19" ht="12" customHeight="1">
      <c r="B68" s="150"/>
      <c r="D68" s="151"/>
      <c r="E68" s="1295" t="str">
        <f>IF($E$9&gt;=101,"■","□")</f>
        <v>□</v>
      </c>
      <c r="F68" s="1291" t="s">
        <v>358</v>
      </c>
      <c r="G68" s="1292"/>
      <c r="H68" s="1293"/>
      <c r="I68" s="1300" t="str">
        <f>IF(E68="□","","備考欄参照")</f>
        <v/>
      </c>
      <c r="J68" s="1309"/>
      <c r="K68" s="1310"/>
      <c r="L68" s="1311"/>
      <c r="M68" s="1309"/>
      <c r="N68" s="1287"/>
      <c r="O68" s="192" t="s">
        <v>360</v>
      </c>
      <c r="P68" s="159"/>
      <c r="Q68" s="159"/>
      <c r="R68" s="159"/>
      <c r="S68" s="160"/>
    </row>
    <row r="69" spans="2:19" ht="12" customHeight="1">
      <c r="B69" s="150"/>
      <c r="D69" s="151"/>
      <c r="E69" s="1295"/>
      <c r="F69" s="1291"/>
      <c r="G69" s="1292"/>
      <c r="H69" s="1293"/>
      <c r="I69" s="1300"/>
      <c r="J69" s="1309"/>
      <c r="K69" s="1310"/>
      <c r="L69" s="1311"/>
      <c r="M69" s="1309"/>
      <c r="N69" s="1287"/>
      <c r="O69" s="192" t="s">
        <v>361</v>
      </c>
      <c r="P69" s="159"/>
      <c r="Q69" s="159"/>
      <c r="R69" s="159"/>
      <c r="S69" s="160"/>
    </row>
    <row r="70" spans="2:19" ht="12" customHeight="1">
      <c r="B70" s="150"/>
      <c r="D70" s="151"/>
      <c r="E70" s="1296"/>
      <c r="F70" s="1297"/>
      <c r="G70" s="1298"/>
      <c r="H70" s="1299"/>
      <c r="I70" s="1301"/>
      <c r="J70" s="1309"/>
      <c r="K70" s="1310"/>
      <c r="L70" s="1311"/>
      <c r="M70" s="1309"/>
      <c r="N70" s="1287"/>
      <c r="O70" s="192" t="s">
        <v>362</v>
      </c>
      <c r="P70" s="159"/>
      <c r="Q70" s="159"/>
      <c r="R70" s="159"/>
      <c r="S70" s="160"/>
    </row>
    <row r="71" spans="2:19">
      <c r="B71" s="150"/>
      <c r="D71" s="151"/>
      <c r="E71" s="1278" t="s">
        <v>333</v>
      </c>
      <c r="F71" s="1279"/>
      <c r="G71" s="1279"/>
      <c r="H71" s="1279"/>
      <c r="I71" s="1279"/>
      <c r="J71" s="152"/>
      <c r="K71" s="153"/>
      <c r="L71" s="154"/>
      <c r="O71" s="158"/>
      <c r="P71" s="159"/>
      <c r="Q71" s="159"/>
      <c r="R71" s="159"/>
      <c r="S71" s="160"/>
    </row>
    <row r="72" spans="2:19">
      <c r="B72" s="150"/>
      <c r="D72" s="163" t="s">
        <v>363</v>
      </c>
      <c r="E72" s="1280" t="s">
        <v>364</v>
      </c>
      <c r="F72" s="1281"/>
      <c r="G72" s="1281"/>
      <c r="H72" s="1281"/>
      <c r="I72" s="1282"/>
      <c r="J72" s="1283"/>
      <c r="K72" s="1284"/>
      <c r="L72" s="1287" t="s">
        <v>97</v>
      </c>
      <c r="M72" s="1289"/>
      <c r="N72" s="1281" t="s">
        <v>97</v>
      </c>
      <c r="O72" s="158"/>
      <c r="P72" s="159"/>
      <c r="Q72" s="159"/>
      <c r="R72" s="159"/>
      <c r="S72" s="160"/>
    </row>
    <row r="73" spans="2:19">
      <c r="B73" s="150"/>
      <c r="D73" s="151"/>
      <c r="E73" s="150"/>
      <c r="I73" s="151"/>
      <c r="J73" s="1283"/>
      <c r="K73" s="1284"/>
      <c r="L73" s="1287"/>
      <c r="M73" s="1283"/>
      <c r="N73" s="1287"/>
      <c r="O73" s="158"/>
      <c r="P73" s="159"/>
      <c r="Q73" s="159"/>
      <c r="R73" s="159"/>
      <c r="S73" s="160"/>
    </row>
    <row r="74" spans="2:19">
      <c r="B74" s="152"/>
      <c r="C74" s="153"/>
      <c r="D74" s="154"/>
      <c r="E74" s="164" t="s">
        <v>365</v>
      </c>
      <c r="F74" s="165"/>
      <c r="G74" s="153" t="s">
        <v>430</v>
      </c>
      <c r="H74" s="153"/>
      <c r="I74" s="154"/>
      <c r="J74" s="1285"/>
      <c r="K74" s="1286"/>
      <c r="L74" s="1288"/>
      <c r="M74" s="1285"/>
      <c r="N74" s="1288"/>
      <c r="O74" s="155"/>
      <c r="P74" s="156"/>
      <c r="Q74" s="156"/>
      <c r="R74" s="156"/>
      <c r="S74" s="157"/>
    </row>
    <row r="75" spans="2:19" ht="6.75" customHeight="1"/>
  </sheetData>
  <mergeCells count="125">
    <mergeCell ref="O62:S66"/>
    <mergeCell ref="C58:H60"/>
    <mergeCell ref="C54:H54"/>
    <mergeCell ref="J17:K19"/>
    <mergeCell ref="B10:S11"/>
    <mergeCell ref="E26:I27"/>
    <mergeCell ref="D29:H29"/>
    <mergeCell ref="D28:H28"/>
    <mergeCell ref="O43:S45"/>
    <mergeCell ref="C22:H24"/>
    <mergeCell ref="C31:D31"/>
    <mergeCell ref="E31:I31"/>
    <mergeCell ref="C46:D51"/>
    <mergeCell ref="O20:S25"/>
    <mergeCell ref="O56:S61"/>
    <mergeCell ref="O52:S55"/>
    <mergeCell ref="O46:S51"/>
    <mergeCell ref="O26:S30"/>
    <mergeCell ref="E20:I21"/>
    <mergeCell ref="J20:K25"/>
    <mergeCell ref="O17:S19"/>
    <mergeCell ref="O14:S16"/>
    <mergeCell ref="O12:S13"/>
    <mergeCell ref="E14:I16"/>
    <mergeCell ref="P7:Q7"/>
    <mergeCell ref="B8:C8"/>
    <mergeCell ref="G8:H8"/>
    <mergeCell ref="M8:N8"/>
    <mergeCell ref="P8:Q8"/>
    <mergeCell ref="B2:R2"/>
    <mergeCell ref="B4:C5"/>
    <mergeCell ref="D4:L5"/>
    <mergeCell ref="M4:N4"/>
    <mergeCell ref="O4:Q4"/>
    <mergeCell ref="M5:N5"/>
    <mergeCell ref="O5:Q5"/>
    <mergeCell ref="B9:C9"/>
    <mergeCell ref="G9:H9"/>
    <mergeCell ref="B12:D13"/>
    <mergeCell ref="E12:I13"/>
    <mergeCell ref="J12:L13"/>
    <mergeCell ref="M12:N12"/>
    <mergeCell ref="B7:C7"/>
    <mergeCell ref="G7:H7"/>
    <mergeCell ref="M7:N7"/>
    <mergeCell ref="M13:N13"/>
    <mergeCell ref="L20:L25"/>
    <mergeCell ref="E42:I42"/>
    <mergeCell ref="J43:K45"/>
    <mergeCell ref="L43:L45"/>
    <mergeCell ref="J14:K16"/>
    <mergeCell ref="L14:L16"/>
    <mergeCell ref="M14:M16"/>
    <mergeCell ref="N14:N16"/>
    <mergeCell ref="M20:M25"/>
    <mergeCell ref="N20:N25"/>
    <mergeCell ref="E25:I25"/>
    <mergeCell ref="J26:K26"/>
    <mergeCell ref="M26:M30"/>
    <mergeCell ref="N26:N30"/>
    <mergeCell ref="J27:K27"/>
    <mergeCell ref="J28:K30"/>
    <mergeCell ref="E17:I19"/>
    <mergeCell ref="L17:L19"/>
    <mergeCell ref="M17:M19"/>
    <mergeCell ref="N17:N19"/>
    <mergeCell ref="L28:L30"/>
    <mergeCell ref="E30:I30"/>
    <mergeCell ref="M43:M45"/>
    <mergeCell ref="N43:N45"/>
    <mergeCell ref="E45:I45"/>
    <mergeCell ref="O31:S38"/>
    <mergeCell ref="M32:M41"/>
    <mergeCell ref="I38:I41"/>
    <mergeCell ref="N32:N41"/>
    <mergeCell ref="E34:E35"/>
    <mergeCell ref="F34:H35"/>
    <mergeCell ref="I34:I35"/>
    <mergeCell ref="E36:E37"/>
    <mergeCell ref="F36:H37"/>
    <mergeCell ref="I36:I37"/>
    <mergeCell ref="E38:E41"/>
    <mergeCell ref="E32:E33"/>
    <mergeCell ref="F32:H33"/>
    <mergeCell ref="I32:I33"/>
    <mergeCell ref="J32:K41"/>
    <mergeCell ref="L32:L41"/>
    <mergeCell ref="F38:H41"/>
    <mergeCell ref="E55:I55"/>
    <mergeCell ref="E56:I57"/>
    <mergeCell ref="J56:K61"/>
    <mergeCell ref="L56:L61"/>
    <mergeCell ref="M56:M61"/>
    <mergeCell ref="N56:N61"/>
    <mergeCell ref="E61:I61"/>
    <mergeCell ref="J46:K51"/>
    <mergeCell ref="L46:L51"/>
    <mergeCell ref="M46:M51"/>
    <mergeCell ref="N46:N51"/>
    <mergeCell ref="J52:K55"/>
    <mergeCell ref="L52:L55"/>
    <mergeCell ref="M52:M55"/>
    <mergeCell ref="N52:N55"/>
    <mergeCell ref="E71:I71"/>
    <mergeCell ref="E72:I72"/>
    <mergeCell ref="J72:K74"/>
    <mergeCell ref="L72:L74"/>
    <mergeCell ref="M72:M74"/>
    <mergeCell ref="N72:N74"/>
    <mergeCell ref="N62:N70"/>
    <mergeCell ref="E64:E65"/>
    <mergeCell ref="F64:H65"/>
    <mergeCell ref="I64:I65"/>
    <mergeCell ref="E66:E67"/>
    <mergeCell ref="F66:H67"/>
    <mergeCell ref="I66:I67"/>
    <mergeCell ref="E68:E70"/>
    <mergeCell ref="F68:H70"/>
    <mergeCell ref="I68:I70"/>
    <mergeCell ref="E62:E63"/>
    <mergeCell ref="F62:H63"/>
    <mergeCell ref="I62:I63"/>
    <mergeCell ref="J62:K70"/>
    <mergeCell ref="L62:L70"/>
    <mergeCell ref="M62:M70"/>
  </mergeCells>
  <phoneticPr fontId="3"/>
  <dataValidations count="1">
    <dataValidation type="list" allowBlank="1" showInputMessage="1" showErrorMessage="1" sqref="L7:L8 O7:O8" xr:uid="{00000000-0002-0000-0500-000000000000}">
      <formula1>$V$7:$V$9</formula1>
    </dataValidation>
  </dataValidations>
  <printOptions horizontalCentered="1"/>
  <pageMargins left="0.59055118110236227" right="0.19685039370078741" top="0.19685039370078741" bottom="0.19685039370078741" header="0.31496062992125984" footer="0.31496062992125984"/>
  <pageSetup paperSize="9" scale="94"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H45"/>
  <sheetViews>
    <sheetView view="pageBreakPreview" zoomScaleNormal="100" zoomScaleSheetLayoutView="100" workbookViewId="0">
      <selection activeCell="AA9" sqref="AA9"/>
    </sheetView>
  </sheetViews>
  <sheetFormatPr defaultColWidth="9" defaultRowHeight="12"/>
  <cols>
    <col min="1" max="1" width="1.77734375" style="169" customWidth="1"/>
    <col min="2" max="31" width="3.109375" style="169" customWidth="1"/>
    <col min="32" max="32" width="1.109375" style="169" customWidth="1"/>
    <col min="33" max="33" width="2.33203125" style="169" customWidth="1"/>
    <col min="34" max="34" width="3.33203125" style="169" bestFit="1" customWidth="1"/>
    <col min="35" max="16384" width="9" style="169"/>
  </cols>
  <sheetData>
    <row r="1" spans="2:34">
      <c r="B1" s="1490" t="s">
        <v>643</v>
      </c>
      <c r="C1" s="1490"/>
      <c r="D1" s="1490"/>
      <c r="E1" s="1490"/>
      <c r="F1" s="1491" t="s">
        <v>408</v>
      </c>
      <c r="G1" s="1491"/>
      <c r="H1" s="1491"/>
      <c r="I1" s="1491"/>
      <c r="J1" s="1491"/>
      <c r="K1" s="1491"/>
      <c r="L1" s="1491"/>
      <c r="M1" s="1491"/>
      <c r="N1" s="1491"/>
      <c r="O1" s="1491"/>
      <c r="P1" s="1491"/>
      <c r="Q1" s="1491"/>
      <c r="R1" s="1491"/>
      <c r="S1" s="1491"/>
      <c r="T1" s="1491"/>
      <c r="U1" s="1491"/>
      <c r="V1" s="1491"/>
      <c r="W1" s="1491"/>
      <c r="X1" s="1491"/>
      <c r="Y1" s="1491"/>
      <c r="Z1" s="1491"/>
      <c r="AA1" s="1491"/>
      <c r="AB1" s="1491"/>
      <c r="AC1" s="1491"/>
      <c r="AD1" s="1491"/>
      <c r="AE1" s="1491"/>
    </row>
    <row r="2" spans="2:34" ht="13.5" customHeight="1">
      <c r="B2" s="1499" t="s">
        <v>437</v>
      </c>
      <c r="C2" s="1499"/>
      <c r="D2" s="1499"/>
      <c r="E2" s="1499"/>
      <c r="F2" s="1499"/>
      <c r="G2" s="1499"/>
      <c r="H2" s="1499"/>
      <c r="I2" s="1499"/>
      <c r="J2" s="1499"/>
      <c r="K2" s="1499"/>
      <c r="L2" s="1499"/>
      <c r="M2" s="1499"/>
      <c r="N2" s="1499"/>
      <c r="O2" s="1499"/>
      <c r="P2" s="1499"/>
      <c r="Q2" s="1499"/>
      <c r="R2" s="1499"/>
      <c r="S2" s="1499"/>
      <c r="T2" s="1499"/>
      <c r="U2" s="1499"/>
      <c r="V2" s="1499"/>
      <c r="W2" s="1499"/>
      <c r="X2" s="1499"/>
      <c r="Y2" s="1499"/>
      <c r="Z2" s="1499"/>
      <c r="AA2" s="1499"/>
      <c r="AB2" s="1499"/>
      <c r="AC2" s="1499"/>
      <c r="AD2" s="1499"/>
      <c r="AE2" s="1499"/>
    </row>
    <row r="3" spans="2:34" ht="13.5" customHeight="1">
      <c r="B3" s="1500"/>
      <c r="C3" s="1500"/>
      <c r="D3" s="1500"/>
      <c r="E3" s="1500"/>
      <c r="F3" s="1500"/>
      <c r="G3" s="1500"/>
      <c r="H3" s="1500"/>
      <c r="I3" s="1500"/>
      <c r="J3" s="1500"/>
      <c r="K3" s="1500"/>
      <c r="L3" s="1500"/>
      <c r="M3" s="1500"/>
      <c r="N3" s="1500"/>
      <c r="O3" s="1500"/>
      <c r="P3" s="1500"/>
      <c r="Q3" s="1500"/>
      <c r="R3" s="1500"/>
      <c r="S3" s="1500"/>
      <c r="T3" s="1500"/>
      <c r="U3" s="1500"/>
      <c r="V3" s="1500"/>
      <c r="W3" s="1500"/>
      <c r="X3" s="1500"/>
      <c r="Y3" s="1500"/>
      <c r="Z3" s="1500"/>
      <c r="AA3" s="1500"/>
      <c r="AB3" s="1500"/>
      <c r="AC3" s="1500"/>
      <c r="AD3" s="1500"/>
      <c r="AE3" s="1500"/>
    </row>
    <row r="4" spans="2:34">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row>
    <row r="5" spans="2:34" ht="20.25" customHeight="1">
      <c r="B5" s="1492" t="s">
        <v>367</v>
      </c>
      <c r="C5" s="1493"/>
      <c r="D5" s="1493"/>
      <c r="E5" s="1493"/>
      <c r="F5" s="1494"/>
      <c r="G5" s="1495"/>
      <c r="H5" s="1495"/>
      <c r="I5" s="1495"/>
      <c r="J5" s="1495"/>
      <c r="K5" s="1495"/>
      <c r="L5" s="1495"/>
      <c r="M5" s="1495"/>
      <c r="N5" s="1495"/>
      <c r="O5" s="1495"/>
      <c r="P5" s="1495"/>
      <c r="Q5" s="1495"/>
      <c r="R5" s="1495"/>
      <c r="S5" s="1495"/>
      <c r="T5" s="1495"/>
      <c r="U5" s="1495"/>
      <c r="V5" s="1495"/>
      <c r="W5" s="1495"/>
      <c r="X5" s="1495"/>
      <c r="Y5" s="1495"/>
      <c r="Z5" s="1495"/>
      <c r="AA5" s="1495"/>
      <c r="AB5" s="1495"/>
      <c r="AC5" s="1495"/>
      <c r="AD5" s="1495"/>
      <c r="AE5" s="1496"/>
      <c r="AH5" s="137" t="s">
        <v>195</v>
      </c>
    </row>
    <row r="6" spans="2:34" ht="20.25" customHeight="1">
      <c r="B6" s="1497" t="s">
        <v>368</v>
      </c>
      <c r="C6" s="1498"/>
      <c r="D6" s="1498"/>
      <c r="E6" s="1498"/>
      <c r="F6" s="186"/>
      <c r="G6" s="189" t="s">
        <v>410</v>
      </c>
      <c r="H6" s="174" t="s">
        <v>411</v>
      </c>
      <c r="I6" s="174"/>
      <c r="J6" s="174"/>
      <c r="K6" s="174"/>
      <c r="L6" s="189" t="s">
        <v>410</v>
      </c>
      <c r="M6" s="174" t="s">
        <v>412</v>
      </c>
      <c r="N6" s="174"/>
      <c r="O6" s="174"/>
      <c r="P6" s="174"/>
      <c r="Q6" s="174"/>
      <c r="R6" s="174"/>
      <c r="S6" s="174"/>
      <c r="T6" s="174"/>
      <c r="U6" s="174"/>
      <c r="V6" s="174"/>
      <c r="W6" s="174"/>
      <c r="X6" s="174"/>
      <c r="Y6" s="174"/>
      <c r="Z6" s="174"/>
      <c r="AA6" s="174"/>
      <c r="AB6" s="174"/>
      <c r="AC6" s="174"/>
      <c r="AD6" s="174"/>
      <c r="AE6" s="187"/>
      <c r="AH6" s="137" t="s">
        <v>196</v>
      </c>
    </row>
    <row r="7" spans="2:34" ht="34.5" customHeight="1">
      <c r="B7" s="1497" t="s">
        <v>369</v>
      </c>
      <c r="C7" s="1498"/>
      <c r="D7" s="1498"/>
      <c r="E7" s="1498"/>
      <c r="F7" s="1466"/>
      <c r="G7" s="1456"/>
      <c r="H7" s="179" t="s">
        <v>403</v>
      </c>
      <c r="I7" s="1456"/>
      <c r="J7" s="1456"/>
      <c r="K7" s="179" t="s">
        <v>404</v>
      </c>
      <c r="L7" s="179" t="s">
        <v>405</v>
      </c>
      <c r="M7" s="1467" t="s">
        <v>406</v>
      </c>
      <c r="N7" s="1467"/>
      <c r="O7" s="1456" t="s">
        <v>402</v>
      </c>
      <c r="P7" s="1456"/>
      <c r="Q7" s="179" t="s">
        <v>403</v>
      </c>
      <c r="R7" s="1456"/>
      <c r="S7" s="1456"/>
      <c r="T7" s="179" t="s">
        <v>404</v>
      </c>
      <c r="U7" s="1443" t="s">
        <v>407</v>
      </c>
      <c r="V7" s="1443"/>
      <c r="W7" s="1443"/>
      <c r="X7" s="1443"/>
      <c r="Y7" s="1443"/>
      <c r="Z7" s="1443"/>
      <c r="AA7" s="1443"/>
      <c r="AB7" s="1443"/>
      <c r="AC7" s="1443"/>
      <c r="AD7" s="1443"/>
      <c r="AE7" s="1444"/>
      <c r="AH7" s="137"/>
    </row>
    <row r="8" spans="2:34" ht="20.25" customHeight="1">
      <c r="B8" s="1497" t="s">
        <v>370</v>
      </c>
      <c r="C8" s="1498"/>
      <c r="D8" s="1498"/>
      <c r="E8" s="1498"/>
      <c r="F8" s="1505" t="s">
        <v>313</v>
      </c>
      <c r="G8" s="1506"/>
      <c r="H8" s="1456"/>
      <c r="I8" s="1456"/>
      <c r="J8" s="190" t="s">
        <v>34</v>
      </c>
      <c r="K8" s="1456"/>
      <c r="L8" s="1456"/>
      <c r="M8" s="190" t="s">
        <v>30</v>
      </c>
      <c r="N8" s="180"/>
      <c r="O8" s="180"/>
      <c r="P8" s="180"/>
      <c r="Q8" s="180"/>
      <c r="R8" s="180"/>
      <c r="S8" s="180"/>
      <c r="T8" s="180"/>
      <c r="U8" s="180"/>
      <c r="V8" s="180"/>
      <c r="W8" s="180"/>
      <c r="X8" s="180"/>
      <c r="Y8" s="180"/>
      <c r="Z8" s="180"/>
      <c r="AA8" s="180"/>
      <c r="AB8" s="180"/>
      <c r="AC8" s="180"/>
      <c r="AD8" s="180"/>
      <c r="AE8" s="181"/>
    </row>
    <row r="9" spans="2:34">
      <c r="B9" s="182"/>
      <c r="C9" s="182"/>
      <c r="D9" s="182"/>
      <c r="E9" s="182"/>
      <c r="F9" s="183"/>
      <c r="G9" s="183"/>
      <c r="H9" s="183"/>
      <c r="I9" s="183"/>
      <c r="J9" s="183"/>
      <c r="K9" s="183"/>
      <c r="L9" s="183"/>
      <c r="M9" s="183"/>
      <c r="N9" s="183"/>
      <c r="O9" s="183"/>
      <c r="P9" s="183"/>
      <c r="Q9" s="183"/>
      <c r="R9" s="183"/>
      <c r="S9" s="183"/>
      <c r="T9" s="183"/>
      <c r="U9" s="183"/>
      <c r="V9" s="183"/>
      <c r="W9" s="183"/>
      <c r="X9" s="183"/>
      <c r="Y9" s="183"/>
      <c r="Z9" s="183"/>
      <c r="AA9" s="183"/>
      <c r="AB9" s="183"/>
      <c r="AC9" s="183"/>
      <c r="AD9" s="183"/>
      <c r="AE9" s="183"/>
    </row>
    <row r="10" spans="2:34" ht="15" customHeight="1">
      <c r="B10" s="167" t="s">
        <v>371</v>
      </c>
      <c r="C10" s="184"/>
      <c r="D10" s="184"/>
      <c r="E10" s="184"/>
      <c r="F10" s="180"/>
      <c r="G10" s="180"/>
      <c r="H10" s="180"/>
      <c r="I10" s="180"/>
      <c r="J10" s="180"/>
      <c r="K10" s="180"/>
      <c r="L10" s="180"/>
      <c r="M10" s="180"/>
      <c r="N10" s="180"/>
      <c r="O10" s="180"/>
      <c r="P10" s="180"/>
      <c r="Q10" s="180"/>
      <c r="R10" s="180"/>
      <c r="S10" s="180"/>
      <c r="T10" s="180"/>
      <c r="U10" s="180"/>
      <c r="V10" s="180"/>
      <c r="W10" s="180"/>
      <c r="X10" s="180"/>
      <c r="Y10" s="180"/>
      <c r="Z10" s="180"/>
      <c r="AA10" s="180"/>
      <c r="AB10" s="180"/>
      <c r="AC10" s="180"/>
      <c r="AD10" s="180"/>
      <c r="AE10" s="180"/>
    </row>
    <row r="11" spans="2:34" ht="15" customHeight="1">
      <c r="B11" s="185"/>
      <c r="C11" s="182"/>
      <c r="D11" s="182"/>
      <c r="E11" s="182"/>
      <c r="F11" s="183"/>
      <c r="G11" s="183"/>
      <c r="H11" s="183"/>
      <c r="I11" s="183"/>
      <c r="J11" s="183"/>
      <c r="K11" s="180"/>
      <c r="L11" s="180"/>
      <c r="M11" s="180"/>
      <c r="N11" s="183"/>
      <c r="O11" s="183"/>
      <c r="P11" s="183"/>
      <c r="Q11" s="183"/>
      <c r="R11" s="183"/>
      <c r="S11" s="183"/>
      <c r="T11" s="183"/>
      <c r="U11" s="183"/>
      <c r="V11" s="183"/>
      <c r="W11" s="183"/>
      <c r="X11" s="183"/>
      <c r="Y11" s="183"/>
      <c r="Z11" s="183"/>
      <c r="AA11" s="183"/>
      <c r="AB11" s="183"/>
      <c r="AC11" s="183"/>
      <c r="AD11" s="183"/>
      <c r="AE11" s="183"/>
    </row>
    <row r="12" spans="2:34" ht="18" customHeight="1">
      <c r="B12" s="1464" t="s">
        <v>416</v>
      </c>
      <c r="C12" s="1464"/>
      <c r="D12" s="1464"/>
      <c r="E12" s="1464"/>
      <c r="F12" s="1464"/>
      <c r="G12" s="1464"/>
      <c r="H12" s="1464"/>
      <c r="I12" s="1465"/>
      <c r="J12" s="1501"/>
      <c r="K12" s="1502"/>
      <c r="L12" s="1503"/>
      <c r="M12" s="1504"/>
      <c r="N12" s="171" t="s">
        <v>372</v>
      </c>
      <c r="O12" s="168"/>
      <c r="P12" s="172" t="s">
        <v>373</v>
      </c>
      <c r="Q12" s="1447" t="s">
        <v>374</v>
      </c>
      <c r="R12" s="1447"/>
      <c r="S12" s="1447"/>
      <c r="T12" s="1447"/>
      <c r="U12" s="1447"/>
      <c r="V12" s="1447"/>
      <c r="W12" s="1447"/>
      <c r="X12" s="1447"/>
      <c r="Y12" s="1447"/>
      <c r="Z12" s="1447"/>
      <c r="AA12" s="1447"/>
      <c r="AB12" s="1447"/>
      <c r="AC12" s="1447"/>
      <c r="AD12" s="1447"/>
      <c r="AE12" s="1447"/>
    </row>
    <row r="13" spans="2:34">
      <c r="B13" s="182"/>
      <c r="C13" s="182"/>
      <c r="D13" s="182"/>
      <c r="E13" s="182"/>
      <c r="F13" s="183"/>
      <c r="G13" s="183"/>
      <c r="H13" s="183"/>
      <c r="I13" s="183"/>
      <c r="J13" s="183"/>
      <c r="K13" s="183"/>
      <c r="L13" s="183"/>
      <c r="M13" s="183"/>
      <c r="N13" s="183"/>
      <c r="O13" s="183"/>
      <c r="P13" s="183"/>
      <c r="Q13" s="1448" t="s">
        <v>413</v>
      </c>
      <c r="R13" s="1448"/>
      <c r="S13" s="1448"/>
      <c r="T13" s="1448"/>
      <c r="U13" s="1448"/>
      <c r="V13" s="1448"/>
      <c r="W13" s="1448"/>
      <c r="X13" s="1448"/>
      <c r="Y13" s="1448"/>
      <c r="Z13" s="1448"/>
      <c r="AA13" s="1448"/>
      <c r="AB13" s="1448"/>
      <c r="AC13" s="1448"/>
      <c r="AD13" s="1448"/>
      <c r="AE13" s="1448"/>
    </row>
    <row r="14" spans="2:34" ht="18" customHeight="1">
      <c r="B14" s="1464" t="s">
        <v>375</v>
      </c>
      <c r="C14" s="1464"/>
      <c r="D14" s="1464"/>
      <c r="E14" s="1464"/>
      <c r="F14" s="1464"/>
      <c r="G14" s="1464"/>
      <c r="H14" s="1464"/>
      <c r="I14" s="1464"/>
      <c r="J14" s="1481"/>
      <c r="K14" s="1482"/>
      <c r="L14" s="1483"/>
      <c r="M14" s="1484"/>
      <c r="N14" s="172" t="s">
        <v>376</v>
      </c>
      <c r="O14" s="172"/>
      <c r="P14" s="172" t="s">
        <v>377</v>
      </c>
      <c r="Q14" s="1446" t="s">
        <v>378</v>
      </c>
      <c r="R14" s="1446"/>
      <c r="S14" s="1446"/>
      <c r="T14" s="1446"/>
      <c r="U14" s="1446"/>
      <c r="V14" s="1446"/>
      <c r="W14" s="1446"/>
      <c r="X14" s="1446"/>
      <c r="Y14" s="1446"/>
      <c r="Z14" s="1446"/>
      <c r="AA14" s="1446"/>
      <c r="AB14" s="1446"/>
      <c r="AC14" s="1446"/>
      <c r="AD14" s="1446"/>
      <c r="AE14" s="1446"/>
    </row>
    <row r="15" spans="2:34" ht="12.6" thickBot="1">
      <c r="D15" s="172"/>
      <c r="E15" s="172"/>
      <c r="F15" s="172"/>
      <c r="G15" s="172"/>
      <c r="H15" s="172"/>
      <c r="I15" s="172"/>
      <c r="J15" s="172"/>
      <c r="K15" s="172"/>
      <c r="L15" s="172"/>
      <c r="M15" s="172"/>
      <c r="N15" s="172"/>
      <c r="O15" s="172"/>
      <c r="P15" s="172"/>
      <c r="Q15" s="172"/>
    </row>
    <row r="16" spans="2:34" ht="18" customHeight="1" thickTop="1" thickBot="1">
      <c r="B16" s="1464" t="s">
        <v>379</v>
      </c>
      <c r="C16" s="1464"/>
      <c r="D16" s="1464"/>
      <c r="E16" s="1464"/>
      <c r="F16" s="1464"/>
      <c r="G16" s="1464"/>
      <c r="H16" s="1464"/>
      <c r="I16" s="1464"/>
      <c r="J16" s="1464"/>
      <c r="K16" s="1469" t="str">
        <f>IF(K12="","",ROUNDDOWN(K12/(K14*16),2))</f>
        <v/>
      </c>
      <c r="L16" s="1485"/>
      <c r="M16" s="1486"/>
      <c r="N16" s="172"/>
      <c r="O16" s="172"/>
      <c r="P16" s="172" t="s">
        <v>414</v>
      </c>
      <c r="Q16" s="1446" t="s">
        <v>415</v>
      </c>
      <c r="R16" s="1446"/>
      <c r="S16" s="1446"/>
      <c r="T16" s="1446"/>
      <c r="U16" s="1446"/>
      <c r="V16" s="1446"/>
      <c r="W16" s="1446"/>
      <c r="X16" s="1446"/>
      <c r="Y16" s="1446"/>
      <c r="Z16" s="1446"/>
      <c r="AA16" s="1446"/>
      <c r="AB16" s="1446"/>
      <c r="AC16" s="1446"/>
      <c r="AD16" s="1446"/>
      <c r="AE16" s="1446"/>
    </row>
    <row r="17" spans="2:31" ht="12.6" thickTop="1">
      <c r="B17" s="173"/>
      <c r="C17" s="173"/>
      <c r="D17" s="173"/>
      <c r="E17" s="173"/>
      <c r="F17" s="173"/>
      <c r="G17" s="173"/>
      <c r="H17" s="173"/>
      <c r="I17" s="173"/>
      <c r="J17" s="173"/>
      <c r="K17" s="174"/>
      <c r="L17" s="174"/>
      <c r="M17" s="174"/>
      <c r="N17" s="172"/>
      <c r="O17" s="172"/>
      <c r="P17" s="172"/>
      <c r="Q17" s="172"/>
      <c r="R17" s="172"/>
      <c r="S17" s="172"/>
      <c r="T17" s="172"/>
    </row>
    <row r="18" spans="2:31" ht="15" customHeight="1">
      <c r="B18" s="167" t="s">
        <v>380</v>
      </c>
      <c r="C18" s="184"/>
      <c r="D18" s="184"/>
      <c r="E18" s="184"/>
      <c r="F18" s="180"/>
      <c r="G18" s="180"/>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row>
    <row r="19" spans="2:31" ht="12.6" thickBot="1">
      <c r="B19" s="185"/>
      <c r="C19" s="182"/>
      <c r="D19" s="182"/>
      <c r="E19" s="182"/>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83"/>
      <c r="AD19" s="183"/>
      <c r="AE19" s="183"/>
    </row>
    <row r="20" spans="2:31" ht="18" customHeight="1" thickBot="1">
      <c r="B20" s="169" t="s">
        <v>418</v>
      </c>
      <c r="C20" s="172"/>
      <c r="D20" s="172"/>
      <c r="E20" s="175"/>
      <c r="F20" s="176"/>
      <c r="L20" s="172"/>
      <c r="M20" s="172"/>
      <c r="N20" s="1449"/>
      <c r="O20" s="1450"/>
      <c r="P20" s="1450"/>
      <c r="Q20" s="1450"/>
      <c r="R20" s="191" t="s">
        <v>97</v>
      </c>
    </row>
    <row r="21" spans="2:31">
      <c r="D21" s="172"/>
      <c r="E21" s="172"/>
      <c r="F21" s="172"/>
      <c r="G21" s="168"/>
      <c r="H21" s="168"/>
      <c r="I21" s="168"/>
      <c r="J21" s="168"/>
      <c r="K21" s="172"/>
      <c r="L21" s="172"/>
      <c r="M21" s="172"/>
      <c r="N21" s="172"/>
      <c r="O21" s="172"/>
      <c r="P21" s="172"/>
      <c r="Q21" s="172"/>
    </row>
    <row r="22" spans="2:31" ht="18" customHeight="1" thickBot="1">
      <c r="C22" s="169" t="s">
        <v>381</v>
      </c>
      <c r="K22" s="168"/>
      <c r="L22" s="177"/>
      <c r="M22" s="177"/>
      <c r="N22" s="172"/>
      <c r="O22" s="173"/>
      <c r="P22" s="173"/>
      <c r="Q22" s="168"/>
      <c r="R22" s="168"/>
      <c r="S22" s="168"/>
    </row>
    <row r="23" spans="2:31" ht="18" customHeight="1">
      <c r="C23" s="1487" t="s">
        <v>318</v>
      </c>
      <c r="D23" s="1488"/>
      <c r="E23" s="1488"/>
      <c r="F23" s="1488"/>
      <c r="G23" s="1488"/>
      <c r="H23" s="1488"/>
      <c r="I23" s="1488"/>
      <c r="J23" s="1488"/>
      <c r="K23" s="1488"/>
      <c r="L23" s="1488"/>
      <c r="M23" s="1488"/>
      <c r="N23" s="1452" t="s">
        <v>319</v>
      </c>
      <c r="O23" s="1452"/>
      <c r="P23" s="1452"/>
      <c r="Q23" s="1452"/>
      <c r="R23" s="1453"/>
      <c r="S23" s="172"/>
    </row>
    <row r="24" spans="2:31" ht="18" customHeight="1">
      <c r="C24" s="1454" t="s">
        <v>417</v>
      </c>
      <c r="D24" s="1455"/>
      <c r="E24" s="1455"/>
      <c r="F24" s="1455"/>
      <c r="G24" s="1458" t="s">
        <v>409</v>
      </c>
      <c r="H24" s="1458"/>
      <c r="I24" s="1458"/>
      <c r="J24" s="1458"/>
      <c r="K24" s="1458"/>
      <c r="L24" s="1458"/>
      <c r="M24" s="1458"/>
      <c r="N24" s="1458" t="s">
        <v>382</v>
      </c>
      <c r="O24" s="1458"/>
      <c r="P24" s="1458"/>
      <c r="Q24" s="1458"/>
      <c r="R24" s="1459"/>
      <c r="S24" s="172"/>
    </row>
    <row r="25" spans="2:31" ht="18" customHeight="1" thickBot="1">
      <c r="C25" s="1462" t="s">
        <v>383</v>
      </c>
      <c r="D25" s="1463"/>
      <c r="E25" s="1463"/>
      <c r="F25" s="1463"/>
      <c r="G25" s="1458" t="s">
        <v>384</v>
      </c>
      <c r="H25" s="1458"/>
      <c r="I25" s="1458"/>
      <c r="J25" s="1458"/>
      <c r="K25" s="1458"/>
      <c r="L25" s="1458"/>
      <c r="M25" s="1458"/>
      <c r="N25" s="1458"/>
      <c r="O25" s="1458"/>
      <c r="P25" s="1458"/>
      <c r="Q25" s="1458"/>
      <c r="R25" s="1459"/>
      <c r="S25" s="172"/>
    </row>
    <row r="26" spans="2:31" ht="18" customHeight="1" thickTop="1" thickBot="1">
      <c r="C26" s="1462" t="s">
        <v>385</v>
      </c>
      <c r="D26" s="1463"/>
      <c r="E26" s="1463"/>
      <c r="F26" s="1463"/>
      <c r="G26" s="1458" t="s">
        <v>386</v>
      </c>
      <c r="H26" s="1458"/>
      <c r="I26" s="1458"/>
      <c r="J26" s="1458"/>
      <c r="K26" s="1458"/>
      <c r="L26" s="1458"/>
      <c r="M26" s="1458"/>
      <c r="N26" s="1458"/>
      <c r="O26" s="1458"/>
      <c r="P26" s="1458"/>
      <c r="Q26" s="1458"/>
      <c r="R26" s="1459"/>
      <c r="S26" s="172"/>
      <c r="T26" s="169" t="s">
        <v>387</v>
      </c>
      <c r="V26" s="169" t="s">
        <v>388</v>
      </c>
      <c r="X26" s="169" t="s">
        <v>389</v>
      </c>
      <c r="Z26" s="1475"/>
      <c r="AA26" s="1476"/>
      <c r="AB26" s="1477"/>
      <c r="AC26" s="169" t="s">
        <v>390</v>
      </c>
    </row>
    <row r="27" spans="2:31" ht="18" customHeight="1" thickTop="1">
      <c r="C27" s="1462" t="s">
        <v>391</v>
      </c>
      <c r="D27" s="1463"/>
      <c r="E27" s="1463"/>
      <c r="F27" s="1463"/>
      <c r="G27" s="1478" t="s">
        <v>392</v>
      </c>
      <c r="H27" s="1478"/>
      <c r="I27" s="1478"/>
      <c r="J27" s="1478"/>
      <c r="K27" s="1478"/>
      <c r="L27" s="1478"/>
      <c r="M27" s="1478"/>
      <c r="N27" s="1458"/>
      <c r="O27" s="1458"/>
      <c r="P27" s="1458"/>
      <c r="Q27" s="1458"/>
      <c r="R27" s="1459"/>
      <c r="S27" s="168"/>
    </row>
    <row r="28" spans="2:31" ht="18" customHeight="1">
      <c r="C28" s="1462" t="s">
        <v>393</v>
      </c>
      <c r="D28" s="1463"/>
      <c r="E28" s="1463"/>
      <c r="F28" s="1463"/>
      <c r="G28" s="1458" t="s">
        <v>394</v>
      </c>
      <c r="H28" s="1458"/>
      <c r="I28" s="1458"/>
      <c r="J28" s="1458"/>
      <c r="K28" s="1458"/>
      <c r="L28" s="1458"/>
      <c r="M28" s="1458"/>
      <c r="N28" s="1458"/>
      <c r="O28" s="1458"/>
      <c r="P28" s="1458"/>
      <c r="Q28" s="1458"/>
      <c r="R28" s="1459"/>
    </row>
    <row r="29" spans="2:31" ht="18" customHeight="1" thickBot="1">
      <c r="C29" s="1479" t="s">
        <v>395</v>
      </c>
      <c r="D29" s="1480"/>
      <c r="E29" s="1480"/>
      <c r="F29" s="1480"/>
      <c r="G29" s="1457" t="s">
        <v>396</v>
      </c>
      <c r="H29" s="1457"/>
      <c r="I29" s="1457"/>
      <c r="J29" s="1457"/>
      <c r="K29" s="1457"/>
      <c r="L29" s="1457"/>
      <c r="M29" s="1457"/>
      <c r="N29" s="1460"/>
      <c r="O29" s="1460"/>
      <c r="P29" s="1460"/>
      <c r="Q29" s="1460"/>
      <c r="R29" s="1461"/>
    </row>
    <row r="31" spans="2:31" ht="58.5" customHeight="1">
      <c r="B31" s="1445" t="s">
        <v>419</v>
      </c>
      <c r="C31" s="1445"/>
      <c r="D31" s="1445"/>
      <c r="E31" s="1445"/>
      <c r="F31" s="1445"/>
      <c r="G31" s="1451" t="s">
        <v>397</v>
      </c>
      <c r="H31" s="1451"/>
      <c r="I31" s="1451"/>
      <c r="J31" s="1451"/>
      <c r="K31" s="1451"/>
      <c r="L31" s="1451"/>
      <c r="M31" s="1451"/>
      <c r="N31" s="1451"/>
      <c r="O31" s="1451"/>
      <c r="P31" s="1451"/>
      <c r="Q31" s="1451"/>
      <c r="R31" s="1451"/>
      <c r="S31" s="1451"/>
      <c r="T31" s="1451"/>
      <c r="U31" s="1451"/>
      <c r="V31" s="1451"/>
      <c r="W31" s="1451"/>
      <c r="X31" s="1451"/>
      <c r="Y31" s="1451"/>
      <c r="Z31" s="1451"/>
      <c r="AA31" s="1451"/>
      <c r="AB31" s="1451"/>
      <c r="AC31" s="1451"/>
      <c r="AD31" s="1451"/>
      <c r="AE31" s="1451"/>
    </row>
    <row r="32" spans="2:31" ht="34.5" customHeight="1">
      <c r="B32" s="1468" t="s">
        <v>398</v>
      </c>
      <c r="C32" s="1468"/>
      <c r="D32" s="1468"/>
      <c r="E32" s="1468"/>
      <c r="F32" s="1468"/>
      <c r="G32" s="1451" t="s">
        <v>399</v>
      </c>
      <c r="H32" s="1451"/>
      <c r="I32" s="1451"/>
      <c r="J32" s="1451"/>
      <c r="K32" s="1451"/>
      <c r="L32" s="1451"/>
      <c r="M32" s="1451"/>
      <c r="N32" s="1451"/>
      <c r="O32" s="1451"/>
      <c r="P32" s="1451"/>
      <c r="Q32" s="1451"/>
      <c r="R32" s="1451"/>
      <c r="S32" s="1451"/>
      <c r="T32" s="1451"/>
      <c r="U32" s="1451"/>
      <c r="V32" s="1451"/>
      <c r="W32" s="1451"/>
      <c r="X32" s="1451"/>
      <c r="Y32" s="1451"/>
      <c r="Z32" s="1451"/>
      <c r="AA32" s="1451"/>
      <c r="AB32" s="1451"/>
      <c r="AC32" s="1451"/>
      <c r="AD32" s="1451"/>
      <c r="AE32" s="1451"/>
    </row>
    <row r="33" spans="2:31">
      <c r="E33" s="172"/>
      <c r="F33" s="172"/>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row>
    <row r="34" spans="2:31" ht="15" customHeight="1">
      <c r="B34" s="167" t="s">
        <v>420</v>
      </c>
      <c r="C34" s="184"/>
      <c r="D34" s="184"/>
      <c r="E34" s="184"/>
      <c r="F34" s="180"/>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row>
    <row r="35" spans="2:31" ht="15" customHeight="1" thickBot="1">
      <c r="D35" s="172"/>
      <c r="E35" s="172"/>
      <c r="F35" s="172"/>
      <c r="G35" s="168"/>
      <c r="H35" s="168"/>
      <c r="I35" s="168"/>
      <c r="J35" s="168"/>
      <c r="K35" s="172"/>
      <c r="L35" s="172"/>
      <c r="M35" s="172"/>
      <c r="N35" s="172"/>
      <c r="O35" s="172"/>
      <c r="Q35" s="172"/>
      <c r="R35" s="172"/>
    </row>
    <row r="36" spans="2:31" ht="18" customHeight="1" thickTop="1" thickBot="1">
      <c r="B36" s="1464" t="s">
        <v>400</v>
      </c>
      <c r="C36" s="1464"/>
      <c r="D36" s="1464"/>
      <c r="E36" s="1464"/>
      <c r="F36" s="1464"/>
      <c r="G36" s="1464"/>
      <c r="H36" s="1464"/>
      <c r="I36" s="1464"/>
      <c r="J36" s="1464"/>
      <c r="K36" s="1469" t="str">
        <f>IF(K16="","",K16)</f>
        <v/>
      </c>
      <c r="L36" s="1470"/>
      <c r="M36" s="1471"/>
      <c r="N36" s="172"/>
      <c r="O36" s="172" t="s">
        <v>401</v>
      </c>
      <c r="Q36" s="169" t="s">
        <v>390</v>
      </c>
      <c r="S36" s="1472" t="str">
        <f>IF(Z26="","",Z26)</f>
        <v/>
      </c>
      <c r="T36" s="1473"/>
      <c r="U36" s="1474"/>
    </row>
    <row r="37" spans="2:31" ht="15" customHeight="1" thickTop="1">
      <c r="D37" s="175"/>
      <c r="E37" s="175"/>
      <c r="F37" s="175"/>
      <c r="G37" s="174"/>
      <c r="H37" s="174"/>
      <c r="I37" s="174"/>
      <c r="J37" s="168"/>
      <c r="K37" s="168"/>
      <c r="L37" s="168"/>
      <c r="M37" s="175"/>
      <c r="N37" s="175"/>
      <c r="O37" s="175"/>
      <c r="P37" s="175"/>
      <c r="Q37" s="175"/>
    </row>
    <row r="38" spans="2:31" ht="15" customHeight="1">
      <c r="B38" s="309"/>
      <c r="C38" s="309"/>
      <c r="D38" s="310"/>
      <c r="E38" s="310"/>
      <c r="F38" s="310"/>
      <c r="G38" s="311"/>
      <c r="H38" s="311"/>
      <c r="I38" s="311"/>
      <c r="J38" s="312"/>
      <c r="K38" s="312"/>
      <c r="L38" s="312"/>
      <c r="M38" s="310"/>
      <c r="N38" s="310"/>
      <c r="O38" s="310"/>
      <c r="P38" s="310"/>
      <c r="Q38" s="310"/>
      <c r="R38" s="309"/>
      <c r="S38" s="309"/>
      <c r="T38" s="309"/>
      <c r="U38" s="309"/>
      <c r="V38" s="309"/>
      <c r="W38" s="309"/>
      <c r="X38" s="309"/>
      <c r="Y38" s="309"/>
      <c r="Z38" s="309"/>
      <c r="AA38" s="309"/>
      <c r="AB38" s="309"/>
      <c r="AC38" s="309"/>
      <c r="AD38" s="309"/>
      <c r="AE38" s="309"/>
    </row>
    <row r="39" spans="2:31" ht="40.5" customHeight="1">
      <c r="B39" s="308" t="s">
        <v>239</v>
      </c>
      <c r="C39" s="1489" t="s">
        <v>640</v>
      </c>
      <c r="D39" s="1489"/>
      <c r="E39" s="1489"/>
      <c r="F39" s="1489"/>
      <c r="G39" s="1489"/>
      <c r="H39" s="1489"/>
      <c r="I39" s="1489"/>
      <c r="J39" s="1489"/>
      <c r="K39" s="1489"/>
      <c r="L39" s="1489"/>
      <c r="M39" s="1489"/>
      <c r="N39" s="1489"/>
      <c r="O39" s="1489"/>
      <c r="P39" s="1489"/>
      <c r="Q39" s="1489"/>
      <c r="R39" s="1489"/>
      <c r="S39" s="1489"/>
      <c r="T39" s="1489"/>
      <c r="U39" s="1489"/>
      <c r="V39" s="1489"/>
      <c r="W39" s="1489"/>
      <c r="X39" s="1489"/>
      <c r="Y39" s="1489"/>
      <c r="Z39" s="1489"/>
      <c r="AA39" s="1489"/>
      <c r="AB39" s="1489"/>
      <c r="AC39" s="1489"/>
      <c r="AD39" s="1489"/>
      <c r="AE39" s="1489"/>
    </row>
    <row r="40" spans="2:31" ht="14.25" customHeight="1">
      <c r="B40" s="174"/>
      <c r="C40" s="174"/>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row>
    <row r="41" spans="2:31" ht="18" customHeight="1">
      <c r="B41" s="1464"/>
      <c r="C41" s="1465"/>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row>
    <row r="42" spans="2:31" ht="18" customHeight="1">
      <c r="B42" s="178"/>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row>
    <row r="43" spans="2:31">
      <c r="D43" s="174"/>
      <c r="E43" s="174"/>
      <c r="F43" s="174"/>
      <c r="G43" s="174"/>
      <c r="H43" s="174"/>
      <c r="I43" s="174"/>
      <c r="J43" s="174"/>
      <c r="K43" s="174"/>
      <c r="L43" s="174"/>
      <c r="M43" s="174"/>
      <c r="N43" s="174"/>
      <c r="O43" s="174"/>
      <c r="P43" s="174"/>
      <c r="Q43" s="174"/>
      <c r="R43" s="174"/>
      <c r="S43" s="174"/>
      <c r="T43" s="174"/>
      <c r="U43" s="174"/>
      <c r="V43" s="174"/>
      <c r="W43" s="174"/>
      <c r="X43" s="174"/>
      <c r="Y43" s="174"/>
      <c r="Z43" s="174"/>
      <c r="AA43" s="174"/>
      <c r="AB43" s="174"/>
      <c r="AC43" s="174"/>
      <c r="AD43" s="174"/>
      <c r="AE43" s="174"/>
    </row>
    <row r="44" spans="2:31">
      <c r="D44" s="174"/>
      <c r="E44" s="174"/>
      <c r="F44" s="174"/>
      <c r="G44" s="174"/>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row>
    <row r="45" spans="2:31">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row>
  </sheetData>
  <mergeCells count="54">
    <mergeCell ref="C39:AE39"/>
    <mergeCell ref="H8:I8"/>
    <mergeCell ref="K8:L8"/>
    <mergeCell ref="B1:E1"/>
    <mergeCell ref="F1:AE1"/>
    <mergeCell ref="B5:E5"/>
    <mergeCell ref="F5:AE5"/>
    <mergeCell ref="B6:E6"/>
    <mergeCell ref="B2:AE2"/>
    <mergeCell ref="B3:AE3"/>
    <mergeCell ref="B7:E7"/>
    <mergeCell ref="B8:E8"/>
    <mergeCell ref="B12:J12"/>
    <mergeCell ref="K12:M12"/>
    <mergeCell ref="F8:G8"/>
    <mergeCell ref="C26:F26"/>
    <mergeCell ref="G26:M26"/>
    <mergeCell ref="B14:J14"/>
    <mergeCell ref="K14:M14"/>
    <mergeCell ref="B16:J16"/>
    <mergeCell ref="K16:M16"/>
    <mergeCell ref="C23:M23"/>
    <mergeCell ref="B41:C41"/>
    <mergeCell ref="F7:G7"/>
    <mergeCell ref="I7:J7"/>
    <mergeCell ref="M7:N7"/>
    <mergeCell ref="O7:P7"/>
    <mergeCell ref="B32:F32"/>
    <mergeCell ref="G32:AE32"/>
    <mergeCell ref="B36:J36"/>
    <mergeCell ref="K36:M36"/>
    <mergeCell ref="S36:U36"/>
    <mergeCell ref="Z26:AB26"/>
    <mergeCell ref="C27:F27"/>
    <mergeCell ref="G27:M27"/>
    <mergeCell ref="C28:F28"/>
    <mergeCell ref="G28:M28"/>
    <mergeCell ref="C29:F29"/>
    <mergeCell ref="U7:AE7"/>
    <mergeCell ref="B31:F31"/>
    <mergeCell ref="Q16:AE16"/>
    <mergeCell ref="Q14:AE14"/>
    <mergeCell ref="Q12:AE12"/>
    <mergeCell ref="Q13:AE13"/>
    <mergeCell ref="N20:Q20"/>
    <mergeCell ref="G31:AE31"/>
    <mergeCell ref="N23:R23"/>
    <mergeCell ref="C24:F24"/>
    <mergeCell ref="R7:S7"/>
    <mergeCell ref="G29:M29"/>
    <mergeCell ref="G24:M24"/>
    <mergeCell ref="N24:R29"/>
    <mergeCell ref="C25:F25"/>
    <mergeCell ref="G25:M25"/>
  </mergeCells>
  <phoneticPr fontId="3"/>
  <dataValidations count="1">
    <dataValidation type="list" allowBlank="1" showInputMessage="1" showErrorMessage="1" sqref="G6 L6" xr:uid="{00000000-0002-0000-0600-000000000000}">
      <formula1>$AH$5:$AH$7</formula1>
    </dataValidation>
  </dataValidations>
  <printOptions horizontalCentered="1"/>
  <pageMargins left="0.59055118110236227" right="0.19685039370078741" top="0.19685039370078741" bottom="0.19685039370078741"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066D7-549C-426E-947A-94C07515CF35}">
  <sheetPr>
    <tabColor rgb="FFFFFF00"/>
  </sheetPr>
  <dimension ref="A1:AV224"/>
  <sheetViews>
    <sheetView view="pageBreakPreview" zoomScaleNormal="100" zoomScaleSheetLayoutView="100" workbookViewId="0">
      <pane xSplit="6" ySplit="9" topLeftCell="G10" activePane="bottomRight" state="frozen"/>
      <selection activeCell="AA9" sqref="AA9"/>
      <selection pane="topRight" activeCell="AA9" sqref="AA9"/>
      <selection pane="bottomLeft" activeCell="AA9" sqref="AA9"/>
      <selection pane="bottomRight" activeCell="AJ148" sqref="AJ148:AK148"/>
    </sheetView>
  </sheetViews>
  <sheetFormatPr defaultColWidth="9" defaultRowHeight="12"/>
  <cols>
    <col min="1" max="1" width="1.77734375" style="587" customWidth="1"/>
    <col min="2" max="2" width="3.44140625" style="582" customWidth="1"/>
    <col min="3" max="3" width="12.88671875" style="582" customWidth="1"/>
    <col min="4" max="4" width="3.44140625" style="582" customWidth="1"/>
    <col min="5" max="5" width="12" style="582" customWidth="1"/>
    <col min="6" max="6" width="3.88671875" style="582" customWidth="1"/>
    <col min="7" max="37" width="3.77734375" style="582" customWidth="1"/>
    <col min="38" max="38" width="8.33203125" style="582" customWidth="1"/>
    <col min="39" max="40" width="5.88671875" style="582" customWidth="1"/>
    <col min="41" max="41" width="2.6640625" style="582" bestFit="1" customWidth="1"/>
    <col min="42" max="42" width="5.21875" style="582" bestFit="1" customWidth="1"/>
    <col min="43" max="43" width="4.88671875" style="582" bestFit="1" customWidth="1"/>
    <col min="44" max="44" width="5.109375" style="582" bestFit="1" customWidth="1"/>
    <col min="45" max="46" width="1.88671875" style="582" customWidth="1"/>
    <col min="47" max="47" width="3.109375" style="582" bestFit="1" customWidth="1"/>
    <col min="48" max="48" width="3.21875" style="582" customWidth="1"/>
    <col min="49" max="16384" width="9" style="587"/>
  </cols>
  <sheetData>
    <row r="1" spans="1:48" ht="15" thickBot="1">
      <c r="A1" s="582"/>
      <c r="C1" s="583" t="s">
        <v>1200</v>
      </c>
      <c r="R1" s="584" t="s">
        <v>1201</v>
      </c>
      <c r="AM1" s="585"/>
      <c r="AN1" s="585"/>
      <c r="AO1" s="585"/>
      <c r="AP1" s="585"/>
      <c r="AQ1" s="1669" t="s">
        <v>1202</v>
      </c>
      <c r="AR1" s="1669"/>
      <c r="AS1" s="586"/>
    </row>
    <row r="2" spans="1:48" ht="14.4">
      <c r="A2" s="582"/>
      <c r="C2" s="587"/>
      <c r="J2" s="1670" t="s">
        <v>1203</v>
      </c>
      <c r="K2" s="1670"/>
      <c r="L2" s="588"/>
      <c r="M2" s="589" t="s">
        <v>1204</v>
      </c>
      <c r="N2" s="590"/>
      <c r="O2" s="1671" t="s">
        <v>1205</v>
      </c>
      <c r="P2" s="1671"/>
      <c r="Q2" s="587"/>
      <c r="T2" s="591"/>
      <c r="U2" s="591"/>
      <c r="AA2" s="592"/>
      <c r="AB2" s="592"/>
      <c r="AC2" s="592"/>
      <c r="AD2" s="592"/>
      <c r="AE2" s="593"/>
      <c r="AF2" s="593"/>
      <c r="AG2" s="593"/>
      <c r="AH2" s="593"/>
      <c r="AI2" s="593"/>
      <c r="AJ2" s="593"/>
      <c r="AK2" s="593"/>
      <c r="AL2" s="593"/>
      <c r="AM2" s="593"/>
      <c r="AN2" s="593"/>
      <c r="AO2" s="593"/>
      <c r="AP2" s="593"/>
      <c r="AQ2" s="594"/>
      <c r="AR2" s="594"/>
      <c r="AU2" s="595" t="s">
        <v>1206</v>
      </c>
      <c r="AV2" s="596">
        <v>1</v>
      </c>
    </row>
    <row r="3" spans="1:48" ht="12.75" customHeight="1" thickBot="1">
      <c r="A3" s="582"/>
      <c r="C3" s="597" t="s">
        <v>1207</v>
      </c>
      <c r="D3" s="598"/>
      <c r="E3" s="587"/>
      <c r="G3" s="587"/>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3"/>
      <c r="AO3" s="593"/>
      <c r="AP3" s="593"/>
      <c r="AQ3" s="594"/>
      <c r="AR3" s="594"/>
      <c r="AU3" s="600" t="s">
        <v>1208</v>
      </c>
      <c r="AV3" s="601">
        <v>1</v>
      </c>
    </row>
    <row r="4" spans="1:48" ht="12.6" thickBot="1">
      <c r="A4" s="582"/>
      <c r="C4" s="602">
        <v>45383</v>
      </c>
      <c r="D4" s="598"/>
      <c r="E4" s="1672"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673"/>
      <c r="G4" s="1673"/>
      <c r="H4" s="1673"/>
      <c r="I4" s="1673"/>
      <c r="J4" s="1673"/>
      <c r="K4" s="1673"/>
      <c r="L4" s="1673"/>
      <c r="M4" s="1673"/>
      <c r="N4" s="1673"/>
      <c r="O4" s="1673"/>
      <c r="P4" s="1673"/>
      <c r="Q4" s="1673"/>
      <c r="R4" s="1673"/>
      <c r="S4" s="1673"/>
      <c r="T4" s="1673"/>
      <c r="U4" s="1673"/>
      <c r="V4" s="1673"/>
      <c r="W4" s="1673"/>
      <c r="X4" s="1673"/>
      <c r="Y4" s="1673"/>
      <c r="Z4" s="1673"/>
      <c r="AA4" s="1673"/>
      <c r="AB4" s="1673"/>
      <c r="AC4" s="1673"/>
      <c r="AD4" s="1673"/>
      <c r="AE4" s="1673"/>
      <c r="AF4" s="1673"/>
      <c r="AG4" s="1673"/>
      <c r="AH4" s="1673"/>
      <c r="AI4" s="1673"/>
      <c r="AJ4" s="1673"/>
      <c r="AK4" s="1674"/>
      <c r="AL4" s="599"/>
      <c r="AM4" s="599"/>
      <c r="AN4" s="593"/>
      <c r="AO4" s="593"/>
      <c r="AP4" s="593"/>
      <c r="AQ4" s="594"/>
      <c r="AR4" s="594"/>
      <c r="AU4" s="600" t="s">
        <v>1209</v>
      </c>
      <c r="AV4" s="601"/>
    </row>
    <row r="5" spans="1:48" s="582" customFormat="1">
      <c r="C5" s="603">
        <f>DAY(EOMONTH(C4,0))</f>
        <v>30</v>
      </c>
      <c r="D5" s="598"/>
      <c r="E5" s="1675"/>
      <c r="F5" s="1676"/>
      <c r="G5" s="1676"/>
      <c r="H5" s="1676"/>
      <c r="I5" s="1676"/>
      <c r="J5" s="1676"/>
      <c r="K5" s="1676"/>
      <c r="L5" s="1676"/>
      <c r="M5" s="1676"/>
      <c r="N5" s="1676"/>
      <c r="O5" s="1676"/>
      <c r="P5" s="1676"/>
      <c r="Q5" s="1676"/>
      <c r="R5" s="1676"/>
      <c r="S5" s="1676"/>
      <c r="T5" s="1676"/>
      <c r="U5" s="1676"/>
      <c r="V5" s="1676"/>
      <c r="W5" s="1676"/>
      <c r="X5" s="1676"/>
      <c r="Y5" s="1676"/>
      <c r="Z5" s="1676"/>
      <c r="AA5" s="1676"/>
      <c r="AB5" s="1676"/>
      <c r="AC5" s="1676"/>
      <c r="AD5" s="1676"/>
      <c r="AE5" s="1676"/>
      <c r="AF5" s="1676"/>
      <c r="AG5" s="1676"/>
      <c r="AH5" s="1676"/>
      <c r="AI5" s="1676"/>
      <c r="AJ5" s="1676"/>
      <c r="AK5" s="1677"/>
      <c r="AL5" s="599"/>
      <c r="AM5" s="599"/>
      <c r="AN5" s="593"/>
      <c r="AO5" s="593"/>
      <c r="AP5" s="593"/>
      <c r="AQ5" s="594"/>
      <c r="AR5" s="594"/>
      <c r="AU5" s="600" t="s">
        <v>1210</v>
      </c>
      <c r="AV5" s="601"/>
    </row>
    <row r="6" spans="1:48" ht="12.6" thickBot="1">
      <c r="A6" s="582"/>
      <c r="C6" s="604" t="s">
        <v>1211</v>
      </c>
      <c r="T6" s="591"/>
      <c r="U6" s="591"/>
      <c r="AA6" s="592"/>
      <c r="AB6" s="592"/>
      <c r="AC6" s="592"/>
      <c r="AD6" s="592"/>
      <c r="AE6" s="593"/>
      <c r="AF6" s="593"/>
      <c r="AG6" s="593"/>
      <c r="AH6" s="593"/>
      <c r="AI6" s="593"/>
      <c r="AJ6" s="593"/>
      <c r="AK6" s="605" t="s">
        <v>1212</v>
      </c>
      <c r="AL6" s="606">
        <f>N193</f>
        <v>0</v>
      </c>
      <c r="AM6" s="607">
        <f>N192</f>
        <v>0</v>
      </c>
      <c r="AN6" s="608"/>
      <c r="AO6" s="608"/>
      <c r="AP6" s="608"/>
      <c r="AQ6" s="594"/>
      <c r="AR6" s="594"/>
      <c r="AU6" s="609"/>
      <c r="AV6" s="610"/>
    </row>
    <row r="7" spans="1:48" ht="15.9" customHeight="1">
      <c r="A7" s="582"/>
      <c r="C7" s="611"/>
      <c r="D7" s="1678" t="s">
        <v>1213</v>
      </c>
      <c r="E7" s="611"/>
      <c r="F7" s="612"/>
      <c r="G7" s="1681" t="s">
        <v>1214</v>
      </c>
      <c r="H7" s="1575"/>
      <c r="I7" s="1575"/>
      <c r="J7" s="1575"/>
      <c r="K7" s="1575"/>
      <c r="L7" s="1575"/>
      <c r="M7" s="1682"/>
      <c r="N7" s="1681" t="s">
        <v>1215</v>
      </c>
      <c r="O7" s="1575"/>
      <c r="P7" s="1575"/>
      <c r="Q7" s="1575"/>
      <c r="R7" s="1575"/>
      <c r="S7" s="1575"/>
      <c r="T7" s="1682"/>
      <c r="U7" s="1681" t="s">
        <v>1216</v>
      </c>
      <c r="V7" s="1575"/>
      <c r="W7" s="1575"/>
      <c r="X7" s="1575"/>
      <c r="Y7" s="1575"/>
      <c r="Z7" s="1575"/>
      <c r="AA7" s="1682"/>
      <c r="AB7" s="1681" t="s">
        <v>1217</v>
      </c>
      <c r="AC7" s="1575"/>
      <c r="AD7" s="1575"/>
      <c r="AE7" s="1575"/>
      <c r="AF7" s="1575"/>
      <c r="AG7" s="1575"/>
      <c r="AH7" s="1682"/>
      <c r="AI7" s="1575"/>
      <c r="AJ7" s="1575"/>
      <c r="AK7" s="1576"/>
      <c r="AL7" s="1660" t="s">
        <v>1218</v>
      </c>
      <c r="AM7" s="613" t="s">
        <v>1219</v>
      </c>
      <c r="AN7" s="1663" t="s">
        <v>1220</v>
      </c>
      <c r="AO7" s="1664"/>
      <c r="AP7" s="1664"/>
      <c r="AQ7" s="1664"/>
      <c r="AR7" s="1665"/>
    </row>
    <row r="8" spans="1:48" ht="15.9" customHeight="1">
      <c r="A8" s="582"/>
      <c r="C8" s="614" t="s">
        <v>1221</v>
      </c>
      <c r="D8" s="1679"/>
      <c r="E8" s="614" t="s">
        <v>1222</v>
      </c>
      <c r="F8" s="615" t="s">
        <v>1223</v>
      </c>
      <c r="G8" s="616">
        <v>1</v>
      </c>
      <c r="H8" s="617">
        <v>2</v>
      </c>
      <c r="I8" s="617">
        <v>3</v>
      </c>
      <c r="J8" s="617">
        <v>4</v>
      </c>
      <c r="K8" s="617">
        <v>5</v>
      </c>
      <c r="L8" s="617">
        <v>6</v>
      </c>
      <c r="M8" s="618">
        <v>7</v>
      </c>
      <c r="N8" s="616">
        <v>8</v>
      </c>
      <c r="O8" s="617">
        <v>9</v>
      </c>
      <c r="P8" s="617">
        <v>10</v>
      </c>
      <c r="Q8" s="617">
        <v>11</v>
      </c>
      <c r="R8" s="617">
        <v>12</v>
      </c>
      <c r="S8" s="617">
        <v>13</v>
      </c>
      <c r="T8" s="618">
        <v>14</v>
      </c>
      <c r="U8" s="616">
        <v>15</v>
      </c>
      <c r="V8" s="617">
        <v>16</v>
      </c>
      <c r="W8" s="617">
        <v>17</v>
      </c>
      <c r="X8" s="617">
        <v>18</v>
      </c>
      <c r="Y8" s="617">
        <v>19</v>
      </c>
      <c r="Z8" s="617">
        <v>20</v>
      </c>
      <c r="AA8" s="618">
        <v>21</v>
      </c>
      <c r="AB8" s="616">
        <v>22</v>
      </c>
      <c r="AC8" s="617">
        <v>23</v>
      </c>
      <c r="AD8" s="617">
        <v>24</v>
      </c>
      <c r="AE8" s="617">
        <v>25</v>
      </c>
      <c r="AF8" s="617">
        <v>26</v>
      </c>
      <c r="AG8" s="617">
        <v>27</v>
      </c>
      <c r="AH8" s="618">
        <v>28</v>
      </c>
      <c r="AI8" s="619">
        <v>29</v>
      </c>
      <c r="AJ8" s="617">
        <v>30</v>
      </c>
      <c r="AK8" s="617">
        <v>31</v>
      </c>
      <c r="AL8" s="1661"/>
      <c r="AM8" s="614" t="s">
        <v>1224</v>
      </c>
      <c r="AN8" s="1666"/>
      <c r="AO8" s="1667"/>
      <c r="AP8" s="1667"/>
      <c r="AQ8" s="1667"/>
      <c r="AR8" s="1668"/>
    </row>
    <row r="9" spans="1:48" ht="15.9" customHeight="1">
      <c r="A9" s="582"/>
      <c r="C9" s="620"/>
      <c r="D9" s="1680"/>
      <c r="E9" s="620"/>
      <c r="F9" s="621" t="s">
        <v>1225</v>
      </c>
      <c r="G9" s="622">
        <f>IF(C4="","",WEEKDAY(C4))</f>
        <v>2</v>
      </c>
      <c r="H9" s="623">
        <f>G9+1</f>
        <v>3</v>
      </c>
      <c r="I9" s="623">
        <f t="shared" ref="I9:AK9" si="0">H9+1</f>
        <v>4</v>
      </c>
      <c r="J9" s="623">
        <f t="shared" si="0"/>
        <v>5</v>
      </c>
      <c r="K9" s="623">
        <f t="shared" si="0"/>
        <v>6</v>
      </c>
      <c r="L9" s="623">
        <f t="shared" si="0"/>
        <v>7</v>
      </c>
      <c r="M9" s="624">
        <f t="shared" si="0"/>
        <v>8</v>
      </c>
      <c r="N9" s="622">
        <f t="shared" si="0"/>
        <v>9</v>
      </c>
      <c r="O9" s="623">
        <f t="shared" si="0"/>
        <v>10</v>
      </c>
      <c r="P9" s="623">
        <f t="shared" si="0"/>
        <v>11</v>
      </c>
      <c r="Q9" s="623">
        <f t="shared" si="0"/>
        <v>12</v>
      </c>
      <c r="R9" s="623">
        <f t="shared" si="0"/>
        <v>13</v>
      </c>
      <c r="S9" s="623">
        <f t="shared" si="0"/>
        <v>14</v>
      </c>
      <c r="T9" s="624">
        <f t="shared" si="0"/>
        <v>15</v>
      </c>
      <c r="U9" s="622">
        <f t="shared" si="0"/>
        <v>16</v>
      </c>
      <c r="V9" s="623">
        <f t="shared" si="0"/>
        <v>17</v>
      </c>
      <c r="W9" s="623">
        <f t="shared" si="0"/>
        <v>18</v>
      </c>
      <c r="X9" s="623">
        <f t="shared" si="0"/>
        <v>19</v>
      </c>
      <c r="Y9" s="623">
        <f t="shared" si="0"/>
        <v>20</v>
      </c>
      <c r="Z9" s="623">
        <f t="shared" si="0"/>
        <v>21</v>
      </c>
      <c r="AA9" s="624">
        <f t="shared" si="0"/>
        <v>22</v>
      </c>
      <c r="AB9" s="622">
        <f t="shared" si="0"/>
        <v>23</v>
      </c>
      <c r="AC9" s="623">
        <f t="shared" si="0"/>
        <v>24</v>
      </c>
      <c r="AD9" s="623">
        <f t="shared" si="0"/>
        <v>25</v>
      </c>
      <c r="AE9" s="623">
        <f t="shared" si="0"/>
        <v>26</v>
      </c>
      <c r="AF9" s="623">
        <f t="shared" si="0"/>
        <v>27</v>
      </c>
      <c r="AG9" s="623">
        <f t="shared" si="0"/>
        <v>28</v>
      </c>
      <c r="AH9" s="624">
        <f t="shared" si="0"/>
        <v>29</v>
      </c>
      <c r="AI9" s="623">
        <f t="shared" si="0"/>
        <v>30</v>
      </c>
      <c r="AJ9" s="623">
        <f t="shared" si="0"/>
        <v>31</v>
      </c>
      <c r="AK9" s="623">
        <f t="shared" si="0"/>
        <v>32</v>
      </c>
      <c r="AL9" s="1662"/>
      <c r="AM9" s="614" t="s">
        <v>1226</v>
      </c>
      <c r="AN9" s="621" t="s">
        <v>1227</v>
      </c>
      <c r="AO9" s="625" t="s">
        <v>1228</v>
      </c>
      <c r="AP9" s="626" t="s">
        <v>1229</v>
      </c>
      <c r="AQ9" s="626" t="s">
        <v>1230</v>
      </c>
      <c r="AR9" s="626" t="s">
        <v>1231</v>
      </c>
    </row>
    <row r="10" spans="1:48" ht="15.9" customHeight="1">
      <c r="A10" s="582"/>
      <c r="B10" s="1655" t="s">
        <v>1232</v>
      </c>
      <c r="C10" s="1640"/>
      <c r="D10" s="1642"/>
      <c r="E10" s="1644"/>
      <c r="F10" s="627" t="s">
        <v>1233</v>
      </c>
      <c r="G10" s="628"/>
      <c r="H10" s="629"/>
      <c r="I10" s="630"/>
      <c r="J10" s="630"/>
      <c r="K10" s="630"/>
      <c r="L10" s="630"/>
      <c r="M10" s="631"/>
      <c r="N10" s="628"/>
      <c r="O10" s="629"/>
      <c r="P10" s="630"/>
      <c r="Q10" s="630"/>
      <c r="R10" s="630"/>
      <c r="S10" s="630"/>
      <c r="T10" s="631"/>
      <c r="U10" s="628"/>
      <c r="V10" s="629"/>
      <c r="W10" s="630"/>
      <c r="X10" s="630"/>
      <c r="Y10" s="630"/>
      <c r="Z10" s="630"/>
      <c r="AA10" s="631"/>
      <c r="AB10" s="628"/>
      <c r="AC10" s="629"/>
      <c r="AD10" s="630"/>
      <c r="AE10" s="630"/>
      <c r="AF10" s="630"/>
      <c r="AG10" s="630"/>
      <c r="AH10" s="631"/>
      <c r="AI10" s="632"/>
      <c r="AJ10" s="630"/>
      <c r="AK10" s="630"/>
      <c r="AL10" s="633">
        <f>SUM(G11:AK11)</f>
        <v>0</v>
      </c>
      <c r="AM10" s="634"/>
      <c r="AN10" s="635"/>
      <c r="AO10" s="636"/>
      <c r="AP10" s="637"/>
      <c r="AQ10" s="637"/>
      <c r="AR10" s="637"/>
    </row>
    <row r="11" spans="1:48" ht="15.9" customHeight="1">
      <c r="A11" s="582"/>
      <c r="B11" s="1655"/>
      <c r="C11" s="1656"/>
      <c r="D11" s="1657"/>
      <c r="E11" s="1658"/>
      <c r="F11" s="638" t="s">
        <v>1234</v>
      </c>
      <c r="G11" s="639" t="str">
        <f t="shared" ref="G11:AK11" si="1">IF(G10&lt;&gt;"",VLOOKUP(G10,$AC$197:$AL$221,9,FALSE),"")</f>
        <v/>
      </c>
      <c r="H11" s="640" t="str">
        <f t="shared" si="1"/>
        <v/>
      </c>
      <c r="I11" s="640" t="str">
        <f t="shared" si="1"/>
        <v/>
      </c>
      <c r="J11" s="640" t="str">
        <f t="shared" si="1"/>
        <v/>
      </c>
      <c r="K11" s="640" t="str">
        <f t="shared" si="1"/>
        <v/>
      </c>
      <c r="L11" s="640" t="str">
        <f t="shared" si="1"/>
        <v/>
      </c>
      <c r="M11" s="641" t="str">
        <f t="shared" si="1"/>
        <v/>
      </c>
      <c r="N11" s="639" t="str">
        <f t="shared" si="1"/>
        <v/>
      </c>
      <c r="O11" s="640" t="str">
        <f t="shared" si="1"/>
        <v/>
      </c>
      <c r="P11" s="640" t="str">
        <f t="shared" si="1"/>
        <v/>
      </c>
      <c r="Q11" s="640" t="str">
        <f t="shared" si="1"/>
        <v/>
      </c>
      <c r="R11" s="640" t="str">
        <f t="shared" si="1"/>
        <v/>
      </c>
      <c r="S11" s="640" t="str">
        <f t="shared" si="1"/>
        <v/>
      </c>
      <c r="T11" s="641" t="str">
        <f t="shared" si="1"/>
        <v/>
      </c>
      <c r="U11" s="639" t="str">
        <f t="shared" si="1"/>
        <v/>
      </c>
      <c r="V11" s="640" t="str">
        <f t="shared" si="1"/>
        <v/>
      </c>
      <c r="W11" s="640" t="str">
        <f t="shared" si="1"/>
        <v/>
      </c>
      <c r="X11" s="640" t="str">
        <f t="shared" si="1"/>
        <v/>
      </c>
      <c r="Y11" s="640" t="str">
        <f t="shared" si="1"/>
        <v/>
      </c>
      <c r="Z11" s="640" t="str">
        <f t="shared" si="1"/>
        <v/>
      </c>
      <c r="AA11" s="641" t="str">
        <f t="shared" si="1"/>
        <v/>
      </c>
      <c r="AB11" s="639" t="str">
        <f t="shared" si="1"/>
        <v/>
      </c>
      <c r="AC11" s="640" t="str">
        <f t="shared" si="1"/>
        <v/>
      </c>
      <c r="AD11" s="640" t="str">
        <f t="shared" si="1"/>
        <v/>
      </c>
      <c r="AE11" s="640" t="str">
        <f t="shared" si="1"/>
        <v/>
      </c>
      <c r="AF11" s="640" t="str">
        <f t="shared" si="1"/>
        <v/>
      </c>
      <c r="AG11" s="640" t="str">
        <f t="shared" si="1"/>
        <v/>
      </c>
      <c r="AH11" s="641" t="str">
        <f t="shared" si="1"/>
        <v/>
      </c>
      <c r="AI11" s="642" t="str">
        <f t="shared" si="1"/>
        <v/>
      </c>
      <c r="AJ11" s="640" t="str">
        <f t="shared" si="1"/>
        <v/>
      </c>
      <c r="AK11" s="640" t="str">
        <f t="shared" si="1"/>
        <v/>
      </c>
      <c r="AL11" s="643">
        <f>SUM(G11:AH11)</f>
        <v>0</v>
      </c>
      <c r="AM11" s="644">
        <f>AL11/4</f>
        <v>0</v>
      </c>
      <c r="AN11" s="645" t="str">
        <f>IF(C10="","",C10)</f>
        <v/>
      </c>
      <c r="AO11" s="646" t="str">
        <f>IF(D10="","",D10)</f>
        <v/>
      </c>
      <c r="AP11" s="647" t="str">
        <f>IF(D10&lt;&gt;"",VLOOKUP(D10,$AU$2:$AV$6,2,FALSE),"")</f>
        <v/>
      </c>
      <c r="AQ11" s="644" t="e">
        <f>ROUNDDOWN(AL11/$AL$6,2)</f>
        <v>#DIV/0!</v>
      </c>
      <c r="AR11" s="644" t="e">
        <f>IF(AP11=1,"",AQ11)</f>
        <v>#DIV/0!</v>
      </c>
    </row>
    <row r="12" spans="1:48" ht="15.9" customHeight="1">
      <c r="A12" s="582"/>
      <c r="B12" s="1655" t="s">
        <v>1235</v>
      </c>
      <c r="C12" s="1640"/>
      <c r="D12" s="1642"/>
      <c r="E12" s="1644"/>
      <c r="F12" s="627" t="s">
        <v>1233</v>
      </c>
      <c r="G12" s="628"/>
      <c r="H12" s="629"/>
      <c r="I12" s="630"/>
      <c r="J12" s="630"/>
      <c r="K12" s="630"/>
      <c r="L12" s="630"/>
      <c r="M12" s="631"/>
      <c r="N12" s="628"/>
      <c r="O12" s="629"/>
      <c r="P12" s="630"/>
      <c r="Q12" s="630"/>
      <c r="R12" s="630"/>
      <c r="S12" s="630"/>
      <c r="T12" s="631"/>
      <c r="U12" s="628"/>
      <c r="V12" s="629"/>
      <c r="W12" s="630"/>
      <c r="X12" s="630"/>
      <c r="Y12" s="630"/>
      <c r="Z12" s="630"/>
      <c r="AA12" s="631"/>
      <c r="AB12" s="628"/>
      <c r="AC12" s="629"/>
      <c r="AD12" s="630"/>
      <c r="AE12" s="630"/>
      <c r="AF12" s="630"/>
      <c r="AG12" s="630"/>
      <c r="AH12" s="631"/>
      <c r="AI12" s="648"/>
      <c r="AJ12" s="629"/>
      <c r="AK12" s="629"/>
      <c r="AL12" s="633">
        <f>SUM(G13:AK13)</f>
        <v>0</v>
      </c>
      <c r="AM12" s="634"/>
      <c r="AN12" s="635"/>
      <c r="AO12" s="636"/>
      <c r="AP12" s="634"/>
      <c r="AQ12" s="637"/>
      <c r="AR12" s="637"/>
    </row>
    <row r="13" spans="1:48" ht="15.9" customHeight="1">
      <c r="A13" s="582"/>
      <c r="B13" s="1655"/>
      <c r="C13" s="1656"/>
      <c r="D13" s="1657"/>
      <c r="E13" s="1658"/>
      <c r="F13" s="638" t="s">
        <v>1234</v>
      </c>
      <c r="G13" s="639" t="str">
        <f t="shared" ref="G13:AK13" si="2">IF(G12&lt;&gt;"",VLOOKUP(G12,$AC$197:$AL$221,9,FALSE),"")</f>
        <v/>
      </c>
      <c r="H13" s="640" t="str">
        <f t="shared" si="2"/>
        <v/>
      </c>
      <c r="I13" s="640" t="str">
        <f t="shared" si="2"/>
        <v/>
      </c>
      <c r="J13" s="640" t="str">
        <f t="shared" si="2"/>
        <v/>
      </c>
      <c r="K13" s="640" t="str">
        <f t="shared" si="2"/>
        <v/>
      </c>
      <c r="L13" s="640" t="str">
        <f t="shared" si="2"/>
        <v/>
      </c>
      <c r="M13" s="641" t="str">
        <f t="shared" si="2"/>
        <v/>
      </c>
      <c r="N13" s="639" t="str">
        <f t="shared" si="2"/>
        <v/>
      </c>
      <c r="O13" s="640" t="str">
        <f t="shared" si="2"/>
        <v/>
      </c>
      <c r="P13" s="640" t="str">
        <f t="shared" si="2"/>
        <v/>
      </c>
      <c r="Q13" s="640" t="str">
        <f t="shared" si="2"/>
        <v/>
      </c>
      <c r="R13" s="640" t="str">
        <f t="shared" si="2"/>
        <v/>
      </c>
      <c r="S13" s="640" t="str">
        <f t="shared" si="2"/>
        <v/>
      </c>
      <c r="T13" s="641" t="str">
        <f t="shared" si="2"/>
        <v/>
      </c>
      <c r="U13" s="639" t="str">
        <f t="shared" si="2"/>
        <v/>
      </c>
      <c r="V13" s="640" t="str">
        <f t="shared" si="2"/>
        <v/>
      </c>
      <c r="W13" s="640" t="str">
        <f t="shared" si="2"/>
        <v/>
      </c>
      <c r="X13" s="640" t="str">
        <f t="shared" si="2"/>
        <v/>
      </c>
      <c r="Y13" s="640" t="str">
        <f t="shared" si="2"/>
        <v/>
      </c>
      <c r="Z13" s="640" t="str">
        <f t="shared" si="2"/>
        <v/>
      </c>
      <c r="AA13" s="641" t="str">
        <f t="shared" si="2"/>
        <v/>
      </c>
      <c r="AB13" s="639" t="str">
        <f t="shared" si="2"/>
        <v/>
      </c>
      <c r="AC13" s="640" t="str">
        <f t="shared" si="2"/>
        <v/>
      </c>
      <c r="AD13" s="640" t="str">
        <f t="shared" si="2"/>
        <v/>
      </c>
      <c r="AE13" s="640" t="str">
        <f t="shared" si="2"/>
        <v/>
      </c>
      <c r="AF13" s="640" t="str">
        <f t="shared" si="2"/>
        <v/>
      </c>
      <c r="AG13" s="640" t="str">
        <f t="shared" si="2"/>
        <v/>
      </c>
      <c r="AH13" s="641" t="str">
        <f t="shared" si="2"/>
        <v/>
      </c>
      <c r="AI13" s="642" t="str">
        <f t="shared" si="2"/>
        <v/>
      </c>
      <c r="AJ13" s="640" t="str">
        <f t="shared" si="2"/>
        <v/>
      </c>
      <c r="AK13" s="640" t="str">
        <f t="shared" si="2"/>
        <v/>
      </c>
      <c r="AL13" s="643">
        <f>SUM(G13:AH13)</f>
        <v>0</v>
      </c>
      <c r="AM13" s="644">
        <f>AL13/4</f>
        <v>0</v>
      </c>
      <c r="AN13" s="645" t="str">
        <f>IF(C12="","",C12)</f>
        <v/>
      </c>
      <c r="AO13" s="646" t="str">
        <f>IF(D12="","",D12)</f>
        <v/>
      </c>
      <c r="AP13" s="647" t="str">
        <f>IF(D12&lt;&gt;"",VLOOKUP(D12,$AU$2:$AV$6,2,FALSE),"")</f>
        <v/>
      </c>
      <c r="AQ13" s="644" t="e">
        <f>ROUNDDOWN(AL13/$AL$6,2)</f>
        <v>#DIV/0!</v>
      </c>
      <c r="AR13" s="644" t="e">
        <f>IF(AP13=1,"",AQ13)</f>
        <v>#DIV/0!</v>
      </c>
    </row>
    <row r="14" spans="1:48" ht="15.9" customHeight="1">
      <c r="A14" s="582"/>
      <c r="B14" s="1655" t="s">
        <v>1236</v>
      </c>
      <c r="C14" s="1640"/>
      <c r="D14" s="1642"/>
      <c r="E14" s="1644"/>
      <c r="F14" s="627" t="s">
        <v>1233</v>
      </c>
      <c r="G14" s="628"/>
      <c r="H14" s="629"/>
      <c r="I14" s="630"/>
      <c r="J14" s="630"/>
      <c r="K14" s="630"/>
      <c r="L14" s="630"/>
      <c r="M14" s="631"/>
      <c r="N14" s="628"/>
      <c r="O14" s="629"/>
      <c r="P14" s="630"/>
      <c r="Q14" s="630"/>
      <c r="R14" s="630"/>
      <c r="S14" s="630"/>
      <c r="T14" s="631"/>
      <c r="U14" s="628"/>
      <c r="V14" s="629"/>
      <c r="W14" s="630"/>
      <c r="X14" s="630"/>
      <c r="Y14" s="630"/>
      <c r="Z14" s="630"/>
      <c r="AA14" s="631"/>
      <c r="AB14" s="628"/>
      <c r="AC14" s="629"/>
      <c r="AD14" s="630"/>
      <c r="AE14" s="630"/>
      <c r="AF14" s="630"/>
      <c r="AG14" s="630"/>
      <c r="AH14" s="631"/>
      <c r="AI14" s="648"/>
      <c r="AJ14" s="629"/>
      <c r="AK14" s="629"/>
      <c r="AL14" s="633">
        <f>SUM(G15:AK15)</f>
        <v>0</v>
      </c>
      <c r="AM14" s="634"/>
      <c r="AN14" s="635"/>
      <c r="AO14" s="636"/>
      <c r="AP14" s="634"/>
      <c r="AQ14" s="637"/>
      <c r="AR14" s="637"/>
    </row>
    <row r="15" spans="1:48" ht="15.9" customHeight="1">
      <c r="A15" s="582"/>
      <c r="B15" s="1655"/>
      <c r="C15" s="1656"/>
      <c r="D15" s="1657"/>
      <c r="E15" s="1658"/>
      <c r="F15" s="638" t="s">
        <v>1234</v>
      </c>
      <c r="G15" s="639" t="str">
        <f t="shared" ref="G15:AK15" si="3">IF(G14&lt;&gt;"",VLOOKUP(G14,$AC$197:$AL$221,9,FALSE),"")</f>
        <v/>
      </c>
      <c r="H15" s="640" t="str">
        <f t="shared" si="3"/>
        <v/>
      </c>
      <c r="I15" s="640" t="str">
        <f t="shared" si="3"/>
        <v/>
      </c>
      <c r="J15" s="640" t="str">
        <f t="shared" si="3"/>
        <v/>
      </c>
      <c r="K15" s="640" t="str">
        <f t="shared" si="3"/>
        <v/>
      </c>
      <c r="L15" s="640" t="str">
        <f t="shared" si="3"/>
        <v/>
      </c>
      <c r="M15" s="641" t="str">
        <f t="shared" si="3"/>
        <v/>
      </c>
      <c r="N15" s="639" t="str">
        <f t="shared" si="3"/>
        <v/>
      </c>
      <c r="O15" s="640" t="str">
        <f t="shared" si="3"/>
        <v/>
      </c>
      <c r="P15" s="640" t="str">
        <f t="shared" si="3"/>
        <v/>
      </c>
      <c r="Q15" s="640" t="str">
        <f t="shared" si="3"/>
        <v/>
      </c>
      <c r="R15" s="640" t="str">
        <f t="shared" si="3"/>
        <v/>
      </c>
      <c r="S15" s="640" t="str">
        <f t="shared" si="3"/>
        <v/>
      </c>
      <c r="T15" s="641" t="str">
        <f t="shared" si="3"/>
        <v/>
      </c>
      <c r="U15" s="639" t="str">
        <f t="shared" si="3"/>
        <v/>
      </c>
      <c r="V15" s="640" t="str">
        <f t="shared" si="3"/>
        <v/>
      </c>
      <c r="W15" s="640" t="str">
        <f t="shared" si="3"/>
        <v/>
      </c>
      <c r="X15" s="640" t="str">
        <f t="shared" si="3"/>
        <v/>
      </c>
      <c r="Y15" s="640" t="str">
        <f t="shared" si="3"/>
        <v/>
      </c>
      <c r="Z15" s="640" t="str">
        <f t="shared" si="3"/>
        <v/>
      </c>
      <c r="AA15" s="641" t="str">
        <f t="shared" si="3"/>
        <v/>
      </c>
      <c r="AB15" s="639" t="str">
        <f t="shared" si="3"/>
        <v/>
      </c>
      <c r="AC15" s="640" t="str">
        <f t="shared" si="3"/>
        <v/>
      </c>
      <c r="AD15" s="640" t="str">
        <f t="shared" si="3"/>
        <v/>
      </c>
      <c r="AE15" s="640" t="str">
        <f t="shared" si="3"/>
        <v/>
      </c>
      <c r="AF15" s="640" t="str">
        <f t="shared" si="3"/>
        <v/>
      </c>
      <c r="AG15" s="640" t="str">
        <f t="shared" si="3"/>
        <v/>
      </c>
      <c r="AH15" s="641" t="str">
        <f t="shared" si="3"/>
        <v/>
      </c>
      <c r="AI15" s="642" t="str">
        <f t="shared" si="3"/>
        <v/>
      </c>
      <c r="AJ15" s="640" t="str">
        <f t="shared" si="3"/>
        <v/>
      </c>
      <c r="AK15" s="640" t="str">
        <f t="shared" si="3"/>
        <v/>
      </c>
      <c r="AL15" s="643">
        <f>SUM(G15:AH15)</f>
        <v>0</v>
      </c>
      <c r="AM15" s="644">
        <f>AL15/4</f>
        <v>0</v>
      </c>
      <c r="AN15" s="645" t="str">
        <f>IF(C14="","",C14)</f>
        <v/>
      </c>
      <c r="AO15" s="646" t="str">
        <f>IF(D14="","",D14)</f>
        <v/>
      </c>
      <c r="AP15" s="647" t="str">
        <f>IF(D14&lt;&gt;"",VLOOKUP(D14,$AU$2:$AV$6,2,FALSE),"")</f>
        <v/>
      </c>
      <c r="AQ15" s="644" t="e">
        <f>ROUNDDOWN(AL15/$AL$6,2)</f>
        <v>#DIV/0!</v>
      </c>
      <c r="AR15" s="644" t="e">
        <f>IF(AP15=1,"",AQ15)</f>
        <v>#DIV/0!</v>
      </c>
    </row>
    <row r="16" spans="1:48" ht="15.9" customHeight="1">
      <c r="A16" s="582"/>
      <c r="B16" s="1655" t="s">
        <v>1237</v>
      </c>
      <c r="C16" s="1640"/>
      <c r="D16" s="1642"/>
      <c r="E16" s="1644"/>
      <c r="F16" s="627" t="s">
        <v>1233</v>
      </c>
      <c r="G16" s="628"/>
      <c r="H16" s="629"/>
      <c r="I16" s="630"/>
      <c r="J16" s="630"/>
      <c r="K16" s="630"/>
      <c r="L16" s="630"/>
      <c r="M16" s="631"/>
      <c r="N16" s="628"/>
      <c r="O16" s="629"/>
      <c r="P16" s="630"/>
      <c r="Q16" s="630"/>
      <c r="R16" s="630"/>
      <c r="S16" s="630"/>
      <c r="T16" s="631"/>
      <c r="U16" s="628"/>
      <c r="V16" s="629"/>
      <c r="W16" s="630"/>
      <c r="X16" s="630"/>
      <c r="Y16" s="630"/>
      <c r="Z16" s="630"/>
      <c r="AA16" s="631"/>
      <c r="AB16" s="628"/>
      <c r="AC16" s="629"/>
      <c r="AD16" s="630"/>
      <c r="AE16" s="630"/>
      <c r="AF16" s="630"/>
      <c r="AG16" s="630"/>
      <c r="AH16" s="631"/>
      <c r="AI16" s="648"/>
      <c r="AJ16" s="629"/>
      <c r="AK16" s="629"/>
      <c r="AL16" s="633">
        <f>SUM(G17:AK17)</f>
        <v>0</v>
      </c>
      <c r="AM16" s="634"/>
      <c r="AN16" s="635"/>
      <c r="AO16" s="636"/>
      <c r="AP16" s="634"/>
      <c r="AQ16" s="637"/>
      <c r="AR16" s="637"/>
    </row>
    <row r="17" spans="1:44" ht="15.9" customHeight="1">
      <c r="A17" s="582"/>
      <c r="B17" s="1655"/>
      <c r="C17" s="1656"/>
      <c r="D17" s="1657"/>
      <c r="E17" s="1658"/>
      <c r="F17" s="638" t="s">
        <v>1234</v>
      </c>
      <c r="G17" s="639" t="str">
        <f t="shared" ref="G17:AK17" si="4">IF(G16&lt;&gt;"",VLOOKUP(G16,$AC$197:$AL$221,9,FALSE),"")</f>
        <v/>
      </c>
      <c r="H17" s="640" t="str">
        <f t="shared" si="4"/>
        <v/>
      </c>
      <c r="I17" s="640" t="str">
        <f t="shared" si="4"/>
        <v/>
      </c>
      <c r="J17" s="640" t="str">
        <f t="shared" si="4"/>
        <v/>
      </c>
      <c r="K17" s="640" t="str">
        <f t="shared" si="4"/>
        <v/>
      </c>
      <c r="L17" s="640" t="str">
        <f t="shared" si="4"/>
        <v/>
      </c>
      <c r="M17" s="641" t="str">
        <f t="shared" si="4"/>
        <v/>
      </c>
      <c r="N17" s="639" t="str">
        <f t="shared" si="4"/>
        <v/>
      </c>
      <c r="O17" s="640" t="str">
        <f t="shared" si="4"/>
        <v/>
      </c>
      <c r="P17" s="640" t="str">
        <f t="shared" si="4"/>
        <v/>
      </c>
      <c r="Q17" s="640" t="str">
        <f t="shared" si="4"/>
        <v/>
      </c>
      <c r="R17" s="640" t="str">
        <f t="shared" si="4"/>
        <v/>
      </c>
      <c r="S17" s="640" t="str">
        <f t="shared" si="4"/>
        <v/>
      </c>
      <c r="T17" s="641" t="str">
        <f t="shared" si="4"/>
        <v/>
      </c>
      <c r="U17" s="639" t="str">
        <f t="shared" si="4"/>
        <v/>
      </c>
      <c r="V17" s="640" t="str">
        <f t="shared" si="4"/>
        <v/>
      </c>
      <c r="W17" s="640" t="str">
        <f t="shared" si="4"/>
        <v/>
      </c>
      <c r="X17" s="640" t="str">
        <f t="shared" si="4"/>
        <v/>
      </c>
      <c r="Y17" s="640" t="str">
        <f t="shared" si="4"/>
        <v/>
      </c>
      <c r="Z17" s="640" t="str">
        <f t="shared" si="4"/>
        <v/>
      </c>
      <c r="AA17" s="641" t="str">
        <f t="shared" si="4"/>
        <v/>
      </c>
      <c r="AB17" s="639" t="str">
        <f t="shared" si="4"/>
        <v/>
      </c>
      <c r="AC17" s="640" t="str">
        <f t="shared" si="4"/>
        <v/>
      </c>
      <c r="AD17" s="640" t="str">
        <f t="shared" si="4"/>
        <v/>
      </c>
      <c r="AE17" s="640" t="str">
        <f t="shared" si="4"/>
        <v/>
      </c>
      <c r="AF17" s="640" t="str">
        <f t="shared" si="4"/>
        <v/>
      </c>
      <c r="AG17" s="640" t="str">
        <f t="shared" si="4"/>
        <v/>
      </c>
      <c r="AH17" s="641" t="str">
        <f t="shared" si="4"/>
        <v/>
      </c>
      <c r="AI17" s="642" t="str">
        <f t="shared" si="4"/>
        <v/>
      </c>
      <c r="AJ17" s="640" t="str">
        <f t="shared" si="4"/>
        <v/>
      </c>
      <c r="AK17" s="640" t="str">
        <f t="shared" si="4"/>
        <v/>
      </c>
      <c r="AL17" s="643">
        <f>SUM(G17:AH17)</f>
        <v>0</v>
      </c>
      <c r="AM17" s="644">
        <f>AL17/4</f>
        <v>0</v>
      </c>
      <c r="AN17" s="645" t="str">
        <f>IF(C16="","",C16)</f>
        <v/>
      </c>
      <c r="AO17" s="646" t="str">
        <f>IF(D16="","",D16)</f>
        <v/>
      </c>
      <c r="AP17" s="647" t="str">
        <f>IF(D16&lt;&gt;"",VLOOKUP(D16,$AU$2:$AV$6,2,FALSE),"")</f>
        <v/>
      </c>
      <c r="AQ17" s="644" t="e">
        <f>ROUNDDOWN(AL17/$AL$6,2)</f>
        <v>#DIV/0!</v>
      </c>
      <c r="AR17" s="644" t="e">
        <f>IF(AP17=1,"",AQ17)</f>
        <v>#DIV/0!</v>
      </c>
    </row>
    <row r="18" spans="1:44" ht="15.9" customHeight="1">
      <c r="A18" s="582"/>
      <c r="B18" s="1655" t="s">
        <v>1238</v>
      </c>
      <c r="C18" s="1640"/>
      <c r="D18" s="1642"/>
      <c r="E18" s="1644"/>
      <c r="F18" s="627" t="s">
        <v>1233</v>
      </c>
      <c r="G18" s="628"/>
      <c r="H18" s="629"/>
      <c r="I18" s="630"/>
      <c r="J18" s="630"/>
      <c r="K18" s="630"/>
      <c r="L18" s="630"/>
      <c r="M18" s="631"/>
      <c r="N18" s="628"/>
      <c r="O18" s="629"/>
      <c r="P18" s="630"/>
      <c r="Q18" s="630"/>
      <c r="R18" s="630"/>
      <c r="S18" s="630"/>
      <c r="T18" s="631"/>
      <c r="U18" s="628"/>
      <c r="V18" s="629"/>
      <c r="W18" s="630"/>
      <c r="X18" s="630"/>
      <c r="Y18" s="630"/>
      <c r="Z18" s="630"/>
      <c r="AA18" s="631"/>
      <c r="AB18" s="628"/>
      <c r="AC18" s="629"/>
      <c r="AD18" s="630"/>
      <c r="AE18" s="630"/>
      <c r="AF18" s="630"/>
      <c r="AG18" s="630"/>
      <c r="AH18" s="631"/>
      <c r="AI18" s="632"/>
      <c r="AJ18" s="630"/>
      <c r="AK18" s="630"/>
      <c r="AL18" s="633">
        <f>SUM(G19:AK19)</f>
        <v>0</v>
      </c>
      <c r="AM18" s="634"/>
      <c r="AN18" s="635"/>
      <c r="AO18" s="636"/>
      <c r="AP18" s="634"/>
      <c r="AQ18" s="637"/>
      <c r="AR18" s="637"/>
    </row>
    <row r="19" spans="1:44" ht="15.9" customHeight="1">
      <c r="A19" s="582"/>
      <c r="B19" s="1655"/>
      <c r="C19" s="1656"/>
      <c r="D19" s="1657"/>
      <c r="E19" s="1658"/>
      <c r="F19" s="638" t="s">
        <v>1234</v>
      </c>
      <c r="G19" s="639" t="str">
        <f t="shared" ref="G19:AK19" si="5">IF(G18&lt;&gt;"",VLOOKUP(G18,$AC$197:$AL$221,9,FALSE),"")</f>
        <v/>
      </c>
      <c r="H19" s="640" t="str">
        <f t="shared" si="5"/>
        <v/>
      </c>
      <c r="I19" s="640" t="str">
        <f t="shared" si="5"/>
        <v/>
      </c>
      <c r="J19" s="640" t="str">
        <f t="shared" si="5"/>
        <v/>
      </c>
      <c r="K19" s="640" t="str">
        <f t="shared" si="5"/>
        <v/>
      </c>
      <c r="L19" s="640" t="str">
        <f t="shared" si="5"/>
        <v/>
      </c>
      <c r="M19" s="641" t="str">
        <f t="shared" si="5"/>
        <v/>
      </c>
      <c r="N19" s="639" t="str">
        <f t="shared" si="5"/>
        <v/>
      </c>
      <c r="O19" s="640" t="str">
        <f t="shared" si="5"/>
        <v/>
      </c>
      <c r="P19" s="640" t="str">
        <f t="shared" si="5"/>
        <v/>
      </c>
      <c r="Q19" s="640" t="str">
        <f t="shared" si="5"/>
        <v/>
      </c>
      <c r="R19" s="640" t="str">
        <f t="shared" si="5"/>
        <v/>
      </c>
      <c r="S19" s="640" t="str">
        <f t="shared" si="5"/>
        <v/>
      </c>
      <c r="T19" s="641" t="str">
        <f t="shared" si="5"/>
        <v/>
      </c>
      <c r="U19" s="639" t="str">
        <f t="shared" si="5"/>
        <v/>
      </c>
      <c r="V19" s="640" t="str">
        <f t="shared" si="5"/>
        <v/>
      </c>
      <c r="W19" s="640" t="str">
        <f t="shared" si="5"/>
        <v/>
      </c>
      <c r="X19" s="640" t="str">
        <f t="shared" si="5"/>
        <v/>
      </c>
      <c r="Y19" s="640" t="str">
        <f t="shared" si="5"/>
        <v/>
      </c>
      <c r="Z19" s="640" t="str">
        <f t="shared" si="5"/>
        <v/>
      </c>
      <c r="AA19" s="641" t="str">
        <f t="shared" si="5"/>
        <v/>
      </c>
      <c r="AB19" s="639" t="str">
        <f t="shared" si="5"/>
        <v/>
      </c>
      <c r="AC19" s="640" t="str">
        <f t="shared" si="5"/>
        <v/>
      </c>
      <c r="AD19" s="640" t="str">
        <f t="shared" si="5"/>
        <v/>
      </c>
      <c r="AE19" s="640" t="str">
        <f t="shared" si="5"/>
        <v/>
      </c>
      <c r="AF19" s="640" t="str">
        <f t="shared" si="5"/>
        <v/>
      </c>
      <c r="AG19" s="640" t="str">
        <f t="shared" si="5"/>
        <v/>
      </c>
      <c r="AH19" s="641" t="str">
        <f t="shared" si="5"/>
        <v/>
      </c>
      <c r="AI19" s="642" t="str">
        <f t="shared" si="5"/>
        <v/>
      </c>
      <c r="AJ19" s="640" t="str">
        <f t="shared" si="5"/>
        <v/>
      </c>
      <c r="AK19" s="640" t="str">
        <f t="shared" si="5"/>
        <v/>
      </c>
      <c r="AL19" s="643">
        <f>SUM(G19:AH19)</f>
        <v>0</v>
      </c>
      <c r="AM19" s="644">
        <f>AL19/4</f>
        <v>0</v>
      </c>
      <c r="AN19" s="645" t="str">
        <f>IF(C18="","",C18)</f>
        <v/>
      </c>
      <c r="AO19" s="646" t="str">
        <f>IF(D18="","",D18)</f>
        <v/>
      </c>
      <c r="AP19" s="647" t="str">
        <f>IF(D18&lt;&gt;"",VLOOKUP(D18,$AU$2:$AV$6,2,FALSE),"")</f>
        <v/>
      </c>
      <c r="AQ19" s="644" t="e">
        <f>ROUNDDOWN(AL19/$AL$6,2)</f>
        <v>#DIV/0!</v>
      </c>
      <c r="AR19" s="644" t="e">
        <f>IF(AP19=1,"",AQ19)</f>
        <v>#DIV/0!</v>
      </c>
    </row>
    <row r="20" spans="1:44" ht="15.9" customHeight="1">
      <c r="A20" s="582"/>
      <c r="B20" s="1655" t="s">
        <v>1239</v>
      </c>
      <c r="C20" s="1640"/>
      <c r="D20" s="1642"/>
      <c r="E20" s="1644"/>
      <c r="F20" s="627" t="s">
        <v>1233</v>
      </c>
      <c r="G20" s="628"/>
      <c r="H20" s="629"/>
      <c r="I20" s="630"/>
      <c r="J20" s="630"/>
      <c r="K20" s="630"/>
      <c r="L20" s="630"/>
      <c r="M20" s="631"/>
      <c r="N20" s="628"/>
      <c r="O20" s="629"/>
      <c r="P20" s="630"/>
      <c r="Q20" s="630"/>
      <c r="R20" s="630"/>
      <c r="S20" s="630"/>
      <c r="T20" s="631"/>
      <c r="U20" s="628"/>
      <c r="V20" s="629"/>
      <c r="W20" s="630"/>
      <c r="X20" s="630"/>
      <c r="Y20" s="630"/>
      <c r="Z20" s="630"/>
      <c r="AA20" s="631"/>
      <c r="AB20" s="628"/>
      <c r="AC20" s="629"/>
      <c r="AD20" s="630"/>
      <c r="AE20" s="630"/>
      <c r="AF20" s="630"/>
      <c r="AG20" s="630"/>
      <c r="AH20" s="631"/>
      <c r="AI20" s="632"/>
      <c r="AJ20" s="630"/>
      <c r="AK20" s="630"/>
      <c r="AL20" s="633">
        <f>SUM(G21:AK21)</f>
        <v>0</v>
      </c>
      <c r="AM20" s="634"/>
      <c r="AN20" s="635"/>
      <c r="AO20" s="636"/>
      <c r="AP20" s="634"/>
      <c r="AQ20" s="637"/>
      <c r="AR20" s="637"/>
    </row>
    <row r="21" spans="1:44" ht="15.9" customHeight="1">
      <c r="A21" s="582"/>
      <c r="B21" s="1655"/>
      <c r="C21" s="1656"/>
      <c r="D21" s="1657"/>
      <c r="E21" s="1658"/>
      <c r="F21" s="638" t="s">
        <v>1234</v>
      </c>
      <c r="G21" s="639" t="str">
        <f t="shared" ref="G21:AK21" si="6">IF(G20&lt;&gt;"",VLOOKUP(G20,$AC$197:$AL$221,9,FALSE),"")</f>
        <v/>
      </c>
      <c r="H21" s="640" t="str">
        <f t="shared" si="6"/>
        <v/>
      </c>
      <c r="I21" s="640" t="str">
        <f t="shared" si="6"/>
        <v/>
      </c>
      <c r="J21" s="640" t="str">
        <f t="shared" si="6"/>
        <v/>
      </c>
      <c r="K21" s="640" t="str">
        <f t="shared" si="6"/>
        <v/>
      </c>
      <c r="L21" s="640" t="str">
        <f t="shared" si="6"/>
        <v/>
      </c>
      <c r="M21" s="641" t="str">
        <f t="shared" si="6"/>
        <v/>
      </c>
      <c r="N21" s="639" t="str">
        <f t="shared" si="6"/>
        <v/>
      </c>
      <c r="O21" s="640" t="str">
        <f t="shared" si="6"/>
        <v/>
      </c>
      <c r="P21" s="640" t="str">
        <f t="shared" si="6"/>
        <v/>
      </c>
      <c r="Q21" s="640" t="str">
        <f t="shared" si="6"/>
        <v/>
      </c>
      <c r="R21" s="640" t="str">
        <f t="shared" si="6"/>
        <v/>
      </c>
      <c r="S21" s="640" t="str">
        <f t="shared" si="6"/>
        <v/>
      </c>
      <c r="T21" s="641" t="str">
        <f t="shared" si="6"/>
        <v/>
      </c>
      <c r="U21" s="639" t="str">
        <f t="shared" si="6"/>
        <v/>
      </c>
      <c r="V21" s="640" t="str">
        <f t="shared" si="6"/>
        <v/>
      </c>
      <c r="W21" s="640" t="str">
        <f t="shared" si="6"/>
        <v/>
      </c>
      <c r="X21" s="640" t="str">
        <f t="shared" si="6"/>
        <v/>
      </c>
      <c r="Y21" s="640" t="str">
        <f t="shared" si="6"/>
        <v/>
      </c>
      <c r="Z21" s="640" t="str">
        <f t="shared" si="6"/>
        <v/>
      </c>
      <c r="AA21" s="641" t="str">
        <f t="shared" si="6"/>
        <v/>
      </c>
      <c r="AB21" s="639" t="str">
        <f t="shared" si="6"/>
        <v/>
      </c>
      <c r="AC21" s="640" t="str">
        <f t="shared" si="6"/>
        <v/>
      </c>
      <c r="AD21" s="640" t="str">
        <f t="shared" si="6"/>
        <v/>
      </c>
      <c r="AE21" s="640" t="str">
        <f t="shared" si="6"/>
        <v/>
      </c>
      <c r="AF21" s="640" t="str">
        <f t="shared" si="6"/>
        <v/>
      </c>
      <c r="AG21" s="640" t="str">
        <f t="shared" si="6"/>
        <v/>
      </c>
      <c r="AH21" s="641" t="str">
        <f t="shared" si="6"/>
        <v/>
      </c>
      <c r="AI21" s="642" t="str">
        <f t="shared" si="6"/>
        <v/>
      </c>
      <c r="AJ21" s="640" t="str">
        <f t="shared" si="6"/>
        <v/>
      </c>
      <c r="AK21" s="640" t="str">
        <f t="shared" si="6"/>
        <v/>
      </c>
      <c r="AL21" s="643">
        <f>SUM(G21:AH21)</f>
        <v>0</v>
      </c>
      <c r="AM21" s="644">
        <f>AL21/4</f>
        <v>0</v>
      </c>
      <c r="AN21" s="645" t="str">
        <f>IF(C20="","",C20)</f>
        <v/>
      </c>
      <c r="AO21" s="646" t="str">
        <f>IF(D20="","",D20)</f>
        <v/>
      </c>
      <c r="AP21" s="647" t="str">
        <f>IF(D20&lt;&gt;"",VLOOKUP(D20,$AU$2:$AV$6,2,FALSE),"")</f>
        <v/>
      </c>
      <c r="AQ21" s="644" t="e">
        <f>ROUNDDOWN(AL21/$AL$6,2)</f>
        <v>#DIV/0!</v>
      </c>
      <c r="AR21" s="644" t="e">
        <f>IF(AP21=1,"",AQ21)</f>
        <v>#DIV/0!</v>
      </c>
    </row>
    <row r="22" spans="1:44" ht="15.9" customHeight="1">
      <c r="A22" s="582"/>
      <c r="B22" s="1655" t="s">
        <v>1240</v>
      </c>
      <c r="C22" s="1640"/>
      <c r="D22" s="1642"/>
      <c r="E22" s="1644"/>
      <c r="F22" s="627" t="s">
        <v>1233</v>
      </c>
      <c r="G22" s="628"/>
      <c r="H22" s="629"/>
      <c r="I22" s="630"/>
      <c r="J22" s="630"/>
      <c r="K22" s="630"/>
      <c r="L22" s="630"/>
      <c r="M22" s="631"/>
      <c r="N22" s="628"/>
      <c r="O22" s="629"/>
      <c r="P22" s="630"/>
      <c r="Q22" s="630"/>
      <c r="R22" s="630"/>
      <c r="S22" s="630"/>
      <c r="T22" s="631"/>
      <c r="U22" s="628"/>
      <c r="V22" s="629"/>
      <c r="W22" s="630"/>
      <c r="X22" s="630"/>
      <c r="Y22" s="630"/>
      <c r="Z22" s="630"/>
      <c r="AA22" s="631"/>
      <c r="AB22" s="628"/>
      <c r="AC22" s="629"/>
      <c r="AD22" s="630"/>
      <c r="AE22" s="630"/>
      <c r="AF22" s="630"/>
      <c r="AG22" s="630"/>
      <c r="AH22" s="631"/>
      <c r="AI22" s="648"/>
      <c r="AJ22" s="629"/>
      <c r="AK22" s="629"/>
      <c r="AL22" s="633">
        <f>SUM(G23:AK23)</f>
        <v>0</v>
      </c>
      <c r="AM22" s="634"/>
      <c r="AN22" s="635"/>
      <c r="AO22" s="636"/>
      <c r="AP22" s="634"/>
      <c r="AQ22" s="637"/>
      <c r="AR22" s="637"/>
    </row>
    <row r="23" spans="1:44" ht="15.9" customHeight="1">
      <c r="A23" s="582"/>
      <c r="B23" s="1655"/>
      <c r="C23" s="1656"/>
      <c r="D23" s="1657"/>
      <c r="E23" s="1658"/>
      <c r="F23" s="638" t="s">
        <v>1234</v>
      </c>
      <c r="G23" s="639" t="str">
        <f t="shared" ref="G23:AK23" si="7">IF(G22&lt;&gt;"",VLOOKUP(G22,$AC$197:$AL$221,9,FALSE),"")</f>
        <v/>
      </c>
      <c r="H23" s="640" t="str">
        <f t="shared" si="7"/>
        <v/>
      </c>
      <c r="I23" s="640" t="str">
        <f t="shared" si="7"/>
        <v/>
      </c>
      <c r="J23" s="640" t="str">
        <f t="shared" si="7"/>
        <v/>
      </c>
      <c r="K23" s="640" t="str">
        <f t="shared" si="7"/>
        <v/>
      </c>
      <c r="L23" s="640" t="str">
        <f t="shared" si="7"/>
        <v/>
      </c>
      <c r="M23" s="641" t="str">
        <f t="shared" si="7"/>
        <v/>
      </c>
      <c r="N23" s="639" t="str">
        <f t="shared" si="7"/>
        <v/>
      </c>
      <c r="O23" s="640" t="str">
        <f t="shared" si="7"/>
        <v/>
      </c>
      <c r="P23" s="640" t="str">
        <f t="shared" si="7"/>
        <v/>
      </c>
      <c r="Q23" s="640" t="str">
        <f t="shared" si="7"/>
        <v/>
      </c>
      <c r="R23" s="640" t="str">
        <f t="shared" si="7"/>
        <v/>
      </c>
      <c r="S23" s="640" t="str">
        <f t="shared" si="7"/>
        <v/>
      </c>
      <c r="T23" s="641" t="str">
        <f t="shared" si="7"/>
        <v/>
      </c>
      <c r="U23" s="639" t="str">
        <f t="shared" si="7"/>
        <v/>
      </c>
      <c r="V23" s="640" t="str">
        <f t="shared" si="7"/>
        <v/>
      </c>
      <c r="W23" s="640" t="str">
        <f t="shared" si="7"/>
        <v/>
      </c>
      <c r="X23" s="640" t="str">
        <f t="shared" si="7"/>
        <v/>
      </c>
      <c r="Y23" s="640" t="str">
        <f t="shared" si="7"/>
        <v/>
      </c>
      <c r="Z23" s="640" t="str">
        <f t="shared" si="7"/>
        <v/>
      </c>
      <c r="AA23" s="641" t="str">
        <f t="shared" si="7"/>
        <v/>
      </c>
      <c r="AB23" s="639" t="str">
        <f t="shared" si="7"/>
        <v/>
      </c>
      <c r="AC23" s="640" t="str">
        <f t="shared" si="7"/>
        <v/>
      </c>
      <c r="AD23" s="640" t="str">
        <f t="shared" si="7"/>
        <v/>
      </c>
      <c r="AE23" s="640" t="str">
        <f t="shared" si="7"/>
        <v/>
      </c>
      <c r="AF23" s="640" t="str">
        <f t="shared" si="7"/>
        <v/>
      </c>
      <c r="AG23" s="640" t="str">
        <f t="shared" si="7"/>
        <v/>
      </c>
      <c r="AH23" s="641" t="str">
        <f t="shared" si="7"/>
        <v/>
      </c>
      <c r="AI23" s="642" t="str">
        <f t="shared" si="7"/>
        <v/>
      </c>
      <c r="AJ23" s="640" t="str">
        <f t="shared" si="7"/>
        <v/>
      </c>
      <c r="AK23" s="640" t="str">
        <f t="shared" si="7"/>
        <v/>
      </c>
      <c r="AL23" s="643">
        <f>SUM(G23:AH23)</f>
        <v>0</v>
      </c>
      <c r="AM23" s="644">
        <f>AL23/4</f>
        <v>0</v>
      </c>
      <c r="AN23" s="645" t="str">
        <f>IF(C22="","",C22)</f>
        <v/>
      </c>
      <c r="AO23" s="646" t="str">
        <f>IF(D22="","",D22)</f>
        <v/>
      </c>
      <c r="AP23" s="647" t="str">
        <f>IF(D22&lt;&gt;"",VLOOKUP(D22,$AU$2:$AV$6,2,FALSE),"")</f>
        <v/>
      </c>
      <c r="AQ23" s="644" t="e">
        <f>ROUNDDOWN(AL23/$AL$6,2)</f>
        <v>#DIV/0!</v>
      </c>
      <c r="AR23" s="644" t="e">
        <f>IF(AP23=1,"",AQ23)</f>
        <v>#DIV/0!</v>
      </c>
    </row>
    <row r="24" spans="1:44" ht="15.9" customHeight="1">
      <c r="A24" s="582"/>
      <c r="B24" s="1655" t="s">
        <v>1241</v>
      </c>
      <c r="C24" s="1640"/>
      <c r="D24" s="1642"/>
      <c r="E24" s="1644"/>
      <c r="F24" s="627" t="s">
        <v>1233</v>
      </c>
      <c r="G24" s="628"/>
      <c r="H24" s="629"/>
      <c r="I24" s="630"/>
      <c r="J24" s="630"/>
      <c r="K24" s="630"/>
      <c r="L24" s="630"/>
      <c r="M24" s="631"/>
      <c r="N24" s="628"/>
      <c r="O24" s="629"/>
      <c r="P24" s="630"/>
      <c r="Q24" s="630"/>
      <c r="R24" s="630"/>
      <c r="S24" s="630"/>
      <c r="T24" s="631"/>
      <c r="U24" s="628"/>
      <c r="V24" s="629"/>
      <c r="W24" s="630"/>
      <c r="X24" s="630"/>
      <c r="Y24" s="630"/>
      <c r="Z24" s="630"/>
      <c r="AA24" s="631"/>
      <c r="AB24" s="628"/>
      <c r="AC24" s="629"/>
      <c r="AD24" s="630"/>
      <c r="AE24" s="630"/>
      <c r="AF24" s="630"/>
      <c r="AG24" s="630"/>
      <c r="AH24" s="631"/>
      <c r="AI24" s="648"/>
      <c r="AJ24" s="629"/>
      <c r="AK24" s="629"/>
      <c r="AL24" s="633">
        <f>SUM(G25:AK25)</f>
        <v>0</v>
      </c>
      <c r="AM24" s="634"/>
      <c r="AN24" s="635"/>
      <c r="AO24" s="636"/>
      <c r="AP24" s="634"/>
      <c r="AQ24" s="637"/>
      <c r="AR24" s="637"/>
    </row>
    <row r="25" spans="1:44" ht="15.9" customHeight="1">
      <c r="A25" s="582"/>
      <c r="B25" s="1655"/>
      <c r="C25" s="1656"/>
      <c r="D25" s="1657"/>
      <c r="E25" s="1658"/>
      <c r="F25" s="638" t="s">
        <v>1234</v>
      </c>
      <c r="G25" s="639" t="str">
        <f t="shared" ref="G25:AK25" si="8">IF(G24&lt;&gt;"",VLOOKUP(G24,$AC$197:$AL$221,9,FALSE),"")</f>
        <v/>
      </c>
      <c r="H25" s="640" t="str">
        <f t="shared" si="8"/>
        <v/>
      </c>
      <c r="I25" s="640" t="str">
        <f t="shared" si="8"/>
        <v/>
      </c>
      <c r="J25" s="640" t="str">
        <f t="shared" si="8"/>
        <v/>
      </c>
      <c r="K25" s="640" t="str">
        <f t="shared" si="8"/>
        <v/>
      </c>
      <c r="L25" s="640" t="str">
        <f t="shared" si="8"/>
        <v/>
      </c>
      <c r="M25" s="641" t="str">
        <f t="shared" si="8"/>
        <v/>
      </c>
      <c r="N25" s="639" t="str">
        <f t="shared" si="8"/>
        <v/>
      </c>
      <c r="O25" s="640" t="str">
        <f t="shared" si="8"/>
        <v/>
      </c>
      <c r="P25" s="640" t="str">
        <f t="shared" si="8"/>
        <v/>
      </c>
      <c r="Q25" s="640" t="str">
        <f t="shared" si="8"/>
        <v/>
      </c>
      <c r="R25" s="640" t="str">
        <f t="shared" si="8"/>
        <v/>
      </c>
      <c r="S25" s="640" t="str">
        <f t="shared" si="8"/>
        <v/>
      </c>
      <c r="T25" s="641" t="str">
        <f t="shared" si="8"/>
        <v/>
      </c>
      <c r="U25" s="639" t="str">
        <f t="shared" si="8"/>
        <v/>
      </c>
      <c r="V25" s="640" t="str">
        <f t="shared" si="8"/>
        <v/>
      </c>
      <c r="W25" s="640" t="str">
        <f t="shared" si="8"/>
        <v/>
      </c>
      <c r="X25" s="640" t="str">
        <f t="shared" si="8"/>
        <v/>
      </c>
      <c r="Y25" s="640" t="str">
        <f t="shared" si="8"/>
        <v/>
      </c>
      <c r="Z25" s="640" t="str">
        <f t="shared" si="8"/>
        <v/>
      </c>
      <c r="AA25" s="641" t="str">
        <f t="shared" si="8"/>
        <v/>
      </c>
      <c r="AB25" s="639" t="str">
        <f t="shared" si="8"/>
        <v/>
      </c>
      <c r="AC25" s="640" t="str">
        <f t="shared" si="8"/>
        <v/>
      </c>
      <c r="AD25" s="640" t="str">
        <f t="shared" si="8"/>
        <v/>
      </c>
      <c r="AE25" s="640" t="str">
        <f t="shared" si="8"/>
        <v/>
      </c>
      <c r="AF25" s="640" t="str">
        <f t="shared" si="8"/>
        <v/>
      </c>
      <c r="AG25" s="640" t="str">
        <f t="shared" si="8"/>
        <v/>
      </c>
      <c r="AH25" s="641" t="str">
        <f t="shared" si="8"/>
        <v/>
      </c>
      <c r="AI25" s="642" t="str">
        <f t="shared" si="8"/>
        <v/>
      </c>
      <c r="AJ25" s="640" t="str">
        <f t="shared" si="8"/>
        <v/>
      </c>
      <c r="AK25" s="640" t="str">
        <f t="shared" si="8"/>
        <v/>
      </c>
      <c r="AL25" s="643">
        <f>SUM(G25:AH25)</f>
        <v>0</v>
      </c>
      <c r="AM25" s="644">
        <f>AL25/4</f>
        <v>0</v>
      </c>
      <c r="AN25" s="645" t="str">
        <f>IF(C24="","",C24)</f>
        <v/>
      </c>
      <c r="AO25" s="646" t="str">
        <f>IF(D24="","",D24)</f>
        <v/>
      </c>
      <c r="AP25" s="647" t="str">
        <f>IF(D24&lt;&gt;"",VLOOKUP(D24,$AU$2:$AV$6,2,FALSE),"")</f>
        <v/>
      </c>
      <c r="AQ25" s="644" t="e">
        <f>ROUNDDOWN(AL25/$AL$6,2)</f>
        <v>#DIV/0!</v>
      </c>
      <c r="AR25" s="644" t="e">
        <f>IF(AP25=1,"",AQ25)</f>
        <v>#DIV/0!</v>
      </c>
    </row>
    <row r="26" spans="1:44" ht="15.9" customHeight="1">
      <c r="A26" s="582"/>
      <c r="B26" s="1655" t="s">
        <v>1242</v>
      </c>
      <c r="C26" s="1640"/>
      <c r="D26" s="1642"/>
      <c r="E26" s="1644"/>
      <c r="F26" s="627" t="s">
        <v>1233</v>
      </c>
      <c r="G26" s="628"/>
      <c r="H26" s="629"/>
      <c r="I26" s="630"/>
      <c r="J26" s="630"/>
      <c r="K26" s="630"/>
      <c r="L26" s="630"/>
      <c r="M26" s="631"/>
      <c r="N26" s="628"/>
      <c r="O26" s="629"/>
      <c r="P26" s="630"/>
      <c r="Q26" s="630"/>
      <c r="R26" s="630"/>
      <c r="S26" s="630"/>
      <c r="T26" s="631"/>
      <c r="U26" s="628"/>
      <c r="V26" s="629"/>
      <c r="W26" s="630"/>
      <c r="X26" s="630"/>
      <c r="Y26" s="630"/>
      <c r="Z26" s="630"/>
      <c r="AA26" s="631"/>
      <c r="AB26" s="628"/>
      <c r="AC26" s="629"/>
      <c r="AD26" s="630"/>
      <c r="AE26" s="630"/>
      <c r="AF26" s="630"/>
      <c r="AG26" s="630"/>
      <c r="AH26" s="631"/>
      <c r="AI26" s="632"/>
      <c r="AJ26" s="630"/>
      <c r="AK26" s="630"/>
      <c r="AL26" s="633">
        <f>SUM(G27:AK27)</f>
        <v>0</v>
      </c>
      <c r="AM26" s="634"/>
      <c r="AN26" s="635"/>
      <c r="AO26" s="636"/>
      <c r="AP26" s="634"/>
      <c r="AQ26" s="637"/>
      <c r="AR26" s="637"/>
    </row>
    <row r="27" spans="1:44" ht="15.9" customHeight="1">
      <c r="A27" s="582"/>
      <c r="B27" s="1655"/>
      <c r="C27" s="1656"/>
      <c r="D27" s="1657"/>
      <c r="E27" s="1658"/>
      <c r="F27" s="638" t="s">
        <v>1234</v>
      </c>
      <c r="G27" s="639" t="str">
        <f t="shared" ref="G27:AK27" si="9">IF(G26&lt;&gt;"",VLOOKUP(G26,$AC$197:$AL$221,9,FALSE),"")</f>
        <v/>
      </c>
      <c r="H27" s="640" t="str">
        <f t="shared" si="9"/>
        <v/>
      </c>
      <c r="I27" s="640" t="str">
        <f t="shared" si="9"/>
        <v/>
      </c>
      <c r="J27" s="640" t="str">
        <f t="shared" si="9"/>
        <v/>
      </c>
      <c r="K27" s="640" t="str">
        <f t="shared" si="9"/>
        <v/>
      </c>
      <c r="L27" s="640" t="str">
        <f t="shared" si="9"/>
        <v/>
      </c>
      <c r="M27" s="641" t="str">
        <f t="shared" si="9"/>
        <v/>
      </c>
      <c r="N27" s="639" t="str">
        <f t="shared" si="9"/>
        <v/>
      </c>
      <c r="O27" s="640" t="str">
        <f t="shared" si="9"/>
        <v/>
      </c>
      <c r="P27" s="640" t="str">
        <f t="shared" si="9"/>
        <v/>
      </c>
      <c r="Q27" s="640" t="str">
        <f t="shared" si="9"/>
        <v/>
      </c>
      <c r="R27" s="640" t="str">
        <f t="shared" si="9"/>
        <v/>
      </c>
      <c r="S27" s="640" t="str">
        <f t="shared" si="9"/>
        <v/>
      </c>
      <c r="T27" s="641" t="str">
        <f t="shared" si="9"/>
        <v/>
      </c>
      <c r="U27" s="639" t="str">
        <f t="shared" si="9"/>
        <v/>
      </c>
      <c r="V27" s="640" t="str">
        <f t="shared" si="9"/>
        <v/>
      </c>
      <c r="W27" s="640" t="str">
        <f t="shared" si="9"/>
        <v/>
      </c>
      <c r="X27" s="640" t="str">
        <f t="shared" si="9"/>
        <v/>
      </c>
      <c r="Y27" s="640" t="str">
        <f t="shared" si="9"/>
        <v/>
      </c>
      <c r="Z27" s="640" t="str">
        <f t="shared" si="9"/>
        <v/>
      </c>
      <c r="AA27" s="641" t="str">
        <f t="shared" si="9"/>
        <v/>
      </c>
      <c r="AB27" s="639" t="str">
        <f t="shared" si="9"/>
        <v/>
      </c>
      <c r="AC27" s="640" t="str">
        <f t="shared" si="9"/>
        <v/>
      </c>
      <c r="AD27" s="640" t="str">
        <f t="shared" si="9"/>
        <v/>
      </c>
      <c r="AE27" s="640" t="str">
        <f t="shared" si="9"/>
        <v/>
      </c>
      <c r="AF27" s="640" t="str">
        <f t="shared" si="9"/>
        <v/>
      </c>
      <c r="AG27" s="640" t="str">
        <f t="shared" si="9"/>
        <v/>
      </c>
      <c r="AH27" s="641" t="str">
        <f t="shared" si="9"/>
        <v/>
      </c>
      <c r="AI27" s="642" t="str">
        <f t="shared" si="9"/>
        <v/>
      </c>
      <c r="AJ27" s="640" t="str">
        <f t="shared" si="9"/>
        <v/>
      </c>
      <c r="AK27" s="640" t="str">
        <f t="shared" si="9"/>
        <v/>
      </c>
      <c r="AL27" s="643">
        <f>SUM(G27:AH27)</f>
        <v>0</v>
      </c>
      <c r="AM27" s="644">
        <f>AL27/4</f>
        <v>0</v>
      </c>
      <c r="AN27" s="645" t="str">
        <f>IF(C26="","",C26)</f>
        <v/>
      </c>
      <c r="AO27" s="646" t="str">
        <f>IF(D26="","",D26)</f>
        <v/>
      </c>
      <c r="AP27" s="647" t="str">
        <f>IF(D26&lt;&gt;"",VLOOKUP(D26,$AU$2:$AV$6,2,FALSE),"")</f>
        <v/>
      </c>
      <c r="AQ27" s="644" t="e">
        <f>ROUNDDOWN(AL27/$AL$6,2)</f>
        <v>#DIV/0!</v>
      </c>
      <c r="AR27" s="644" t="e">
        <f>IF(AP27=1,"",AQ27)</f>
        <v>#DIV/0!</v>
      </c>
    </row>
    <row r="28" spans="1:44" ht="15.9" customHeight="1">
      <c r="A28" s="582"/>
      <c r="B28" s="1655" t="s">
        <v>1243</v>
      </c>
      <c r="C28" s="1640"/>
      <c r="D28" s="1642"/>
      <c r="E28" s="1644"/>
      <c r="F28" s="627" t="s">
        <v>1233</v>
      </c>
      <c r="G28" s="628"/>
      <c r="H28" s="629"/>
      <c r="I28" s="630"/>
      <c r="J28" s="630"/>
      <c r="K28" s="630"/>
      <c r="L28" s="630"/>
      <c r="M28" s="631"/>
      <c r="N28" s="628"/>
      <c r="O28" s="629"/>
      <c r="P28" s="630"/>
      <c r="Q28" s="630"/>
      <c r="R28" s="630"/>
      <c r="S28" s="630"/>
      <c r="T28" s="631"/>
      <c r="U28" s="628"/>
      <c r="V28" s="629"/>
      <c r="W28" s="630"/>
      <c r="X28" s="630"/>
      <c r="Y28" s="630"/>
      <c r="Z28" s="630"/>
      <c r="AA28" s="631"/>
      <c r="AB28" s="628"/>
      <c r="AC28" s="629"/>
      <c r="AD28" s="630"/>
      <c r="AE28" s="630"/>
      <c r="AF28" s="630"/>
      <c r="AG28" s="630"/>
      <c r="AH28" s="631"/>
      <c r="AI28" s="632"/>
      <c r="AJ28" s="630"/>
      <c r="AK28" s="630"/>
      <c r="AL28" s="633">
        <f>SUM(G29:AK29)</f>
        <v>0</v>
      </c>
      <c r="AM28" s="634"/>
      <c r="AN28" s="635"/>
      <c r="AO28" s="636"/>
      <c r="AP28" s="634"/>
      <c r="AQ28" s="637"/>
      <c r="AR28" s="637"/>
    </row>
    <row r="29" spans="1:44" ht="15.9" customHeight="1">
      <c r="A29" s="582"/>
      <c r="B29" s="1655"/>
      <c r="C29" s="1656"/>
      <c r="D29" s="1657"/>
      <c r="E29" s="1658"/>
      <c r="F29" s="638" t="s">
        <v>1234</v>
      </c>
      <c r="G29" s="639" t="str">
        <f t="shared" ref="G29:AK29" si="10">IF(G28&lt;&gt;"",VLOOKUP(G28,$AC$197:$AL$221,9,FALSE),"")</f>
        <v/>
      </c>
      <c r="H29" s="640" t="str">
        <f t="shared" si="10"/>
        <v/>
      </c>
      <c r="I29" s="640" t="str">
        <f t="shared" si="10"/>
        <v/>
      </c>
      <c r="J29" s="640" t="str">
        <f t="shared" si="10"/>
        <v/>
      </c>
      <c r="K29" s="640" t="str">
        <f t="shared" si="10"/>
        <v/>
      </c>
      <c r="L29" s="640" t="str">
        <f t="shared" si="10"/>
        <v/>
      </c>
      <c r="M29" s="641" t="str">
        <f t="shared" si="10"/>
        <v/>
      </c>
      <c r="N29" s="639" t="str">
        <f t="shared" si="10"/>
        <v/>
      </c>
      <c r="O29" s="640" t="str">
        <f t="shared" si="10"/>
        <v/>
      </c>
      <c r="P29" s="640" t="str">
        <f t="shared" si="10"/>
        <v/>
      </c>
      <c r="Q29" s="640" t="str">
        <f t="shared" si="10"/>
        <v/>
      </c>
      <c r="R29" s="640" t="str">
        <f t="shared" si="10"/>
        <v/>
      </c>
      <c r="S29" s="640" t="str">
        <f t="shared" si="10"/>
        <v/>
      </c>
      <c r="T29" s="641" t="str">
        <f t="shared" si="10"/>
        <v/>
      </c>
      <c r="U29" s="639" t="str">
        <f t="shared" si="10"/>
        <v/>
      </c>
      <c r="V29" s="640" t="str">
        <f t="shared" si="10"/>
        <v/>
      </c>
      <c r="W29" s="640" t="str">
        <f t="shared" si="10"/>
        <v/>
      </c>
      <c r="X29" s="640" t="str">
        <f t="shared" si="10"/>
        <v/>
      </c>
      <c r="Y29" s="640" t="str">
        <f t="shared" si="10"/>
        <v/>
      </c>
      <c r="Z29" s="640" t="str">
        <f t="shared" si="10"/>
        <v/>
      </c>
      <c r="AA29" s="641" t="str">
        <f t="shared" si="10"/>
        <v/>
      </c>
      <c r="AB29" s="639" t="str">
        <f t="shared" si="10"/>
        <v/>
      </c>
      <c r="AC29" s="640" t="str">
        <f t="shared" si="10"/>
        <v/>
      </c>
      <c r="AD29" s="640" t="str">
        <f t="shared" si="10"/>
        <v/>
      </c>
      <c r="AE29" s="640" t="str">
        <f t="shared" si="10"/>
        <v/>
      </c>
      <c r="AF29" s="640" t="str">
        <f t="shared" si="10"/>
        <v/>
      </c>
      <c r="AG29" s="640" t="str">
        <f t="shared" si="10"/>
        <v/>
      </c>
      <c r="AH29" s="641" t="str">
        <f t="shared" si="10"/>
        <v/>
      </c>
      <c r="AI29" s="642" t="str">
        <f t="shared" si="10"/>
        <v/>
      </c>
      <c r="AJ29" s="640" t="str">
        <f t="shared" si="10"/>
        <v/>
      </c>
      <c r="AK29" s="640" t="str">
        <f t="shared" si="10"/>
        <v/>
      </c>
      <c r="AL29" s="643">
        <f>SUM(G29:AH29)</f>
        <v>0</v>
      </c>
      <c r="AM29" s="644">
        <f>AL29/4</f>
        <v>0</v>
      </c>
      <c r="AN29" s="645" t="str">
        <f>IF(C28="","",C28)</f>
        <v/>
      </c>
      <c r="AO29" s="646" t="str">
        <f>IF(D28="","",D28)</f>
        <v/>
      </c>
      <c r="AP29" s="647" t="str">
        <f>IF(D28&lt;&gt;"",VLOOKUP(D28,$AU$2:$AV$6,2,FALSE),"")</f>
        <v/>
      </c>
      <c r="AQ29" s="644" t="e">
        <f>ROUNDDOWN(AL29/$AL$6,2)</f>
        <v>#DIV/0!</v>
      </c>
      <c r="AR29" s="644" t="e">
        <f>IF(AP29=1,"",AQ29)</f>
        <v>#DIV/0!</v>
      </c>
    </row>
    <row r="30" spans="1:44" ht="15.9" customHeight="1">
      <c r="A30" s="582"/>
      <c r="B30" s="1655" t="s">
        <v>1244</v>
      </c>
      <c r="C30" s="1640"/>
      <c r="D30" s="1642"/>
      <c r="E30" s="1644"/>
      <c r="F30" s="627" t="s">
        <v>1233</v>
      </c>
      <c r="G30" s="628"/>
      <c r="H30" s="629"/>
      <c r="I30" s="630"/>
      <c r="J30" s="630"/>
      <c r="K30" s="630"/>
      <c r="L30" s="630"/>
      <c r="M30" s="631"/>
      <c r="N30" s="628"/>
      <c r="O30" s="629"/>
      <c r="P30" s="630"/>
      <c r="Q30" s="630"/>
      <c r="R30" s="630"/>
      <c r="S30" s="630"/>
      <c r="T30" s="631"/>
      <c r="U30" s="628"/>
      <c r="V30" s="629"/>
      <c r="W30" s="630"/>
      <c r="X30" s="630"/>
      <c r="Y30" s="630"/>
      <c r="Z30" s="630"/>
      <c r="AA30" s="631"/>
      <c r="AB30" s="628"/>
      <c r="AC30" s="629"/>
      <c r="AD30" s="630"/>
      <c r="AE30" s="630"/>
      <c r="AF30" s="630"/>
      <c r="AG30" s="630"/>
      <c r="AH30" s="631"/>
      <c r="AI30" s="648"/>
      <c r="AJ30" s="629"/>
      <c r="AK30" s="629"/>
      <c r="AL30" s="633">
        <f>SUM(G31:AK31)</f>
        <v>0</v>
      </c>
      <c r="AM30" s="634"/>
      <c r="AN30" s="635"/>
      <c r="AO30" s="636"/>
      <c r="AP30" s="634"/>
      <c r="AQ30" s="637"/>
      <c r="AR30" s="637"/>
    </row>
    <row r="31" spans="1:44" ht="15.9" customHeight="1">
      <c r="A31" s="582"/>
      <c r="B31" s="1655"/>
      <c r="C31" s="1656"/>
      <c r="D31" s="1657"/>
      <c r="E31" s="1658"/>
      <c r="F31" s="638" t="s">
        <v>1234</v>
      </c>
      <c r="G31" s="639" t="str">
        <f t="shared" ref="G31:AK31" si="11">IF(G30&lt;&gt;"",VLOOKUP(G30,$AC$197:$AL$221,9,FALSE),"")</f>
        <v/>
      </c>
      <c r="H31" s="640" t="str">
        <f t="shared" si="11"/>
        <v/>
      </c>
      <c r="I31" s="640" t="str">
        <f t="shared" si="11"/>
        <v/>
      </c>
      <c r="J31" s="640" t="str">
        <f t="shared" si="11"/>
        <v/>
      </c>
      <c r="K31" s="640" t="str">
        <f t="shared" si="11"/>
        <v/>
      </c>
      <c r="L31" s="640" t="str">
        <f t="shared" si="11"/>
        <v/>
      </c>
      <c r="M31" s="641" t="str">
        <f t="shared" si="11"/>
        <v/>
      </c>
      <c r="N31" s="639" t="str">
        <f t="shared" si="11"/>
        <v/>
      </c>
      <c r="O31" s="640" t="str">
        <f t="shared" si="11"/>
        <v/>
      </c>
      <c r="P31" s="640" t="str">
        <f t="shared" si="11"/>
        <v/>
      </c>
      <c r="Q31" s="640" t="str">
        <f t="shared" si="11"/>
        <v/>
      </c>
      <c r="R31" s="640" t="str">
        <f t="shared" si="11"/>
        <v/>
      </c>
      <c r="S31" s="640" t="str">
        <f t="shared" si="11"/>
        <v/>
      </c>
      <c r="T31" s="641" t="str">
        <f t="shared" si="11"/>
        <v/>
      </c>
      <c r="U31" s="639" t="str">
        <f t="shared" si="11"/>
        <v/>
      </c>
      <c r="V31" s="640" t="str">
        <f t="shared" si="11"/>
        <v/>
      </c>
      <c r="W31" s="640" t="str">
        <f t="shared" si="11"/>
        <v/>
      </c>
      <c r="X31" s="640" t="str">
        <f t="shared" si="11"/>
        <v/>
      </c>
      <c r="Y31" s="640" t="str">
        <f t="shared" si="11"/>
        <v/>
      </c>
      <c r="Z31" s="640" t="str">
        <f t="shared" si="11"/>
        <v/>
      </c>
      <c r="AA31" s="641" t="str">
        <f t="shared" si="11"/>
        <v/>
      </c>
      <c r="AB31" s="639" t="str">
        <f t="shared" si="11"/>
        <v/>
      </c>
      <c r="AC31" s="640" t="str">
        <f t="shared" si="11"/>
        <v/>
      </c>
      <c r="AD31" s="640" t="str">
        <f t="shared" si="11"/>
        <v/>
      </c>
      <c r="AE31" s="640" t="str">
        <f t="shared" si="11"/>
        <v/>
      </c>
      <c r="AF31" s="640" t="str">
        <f t="shared" si="11"/>
        <v/>
      </c>
      <c r="AG31" s="640" t="str">
        <f t="shared" si="11"/>
        <v/>
      </c>
      <c r="AH31" s="641" t="str">
        <f t="shared" si="11"/>
        <v/>
      </c>
      <c r="AI31" s="642" t="str">
        <f t="shared" si="11"/>
        <v/>
      </c>
      <c r="AJ31" s="640" t="str">
        <f t="shared" si="11"/>
        <v/>
      </c>
      <c r="AK31" s="640" t="str">
        <f t="shared" si="11"/>
        <v/>
      </c>
      <c r="AL31" s="643">
        <f>SUM(G31:AH31)</f>
        <v>0</v>
      </c>
      <c r="AM31" s="644">
        <f>AL31/4</f>
        <v>0</v>
      </c>
      <c r="AN31" s="645" t="str">
        <f>IF(C30="","",C30)</f>
        <v/>
      </c>
      <c r="AO31" s="646" t="str">
        <f>IF(D30="","",D30)</f>
        <v/>
      </c>
      <c r="AP31" s="647" t="str">
        <f>IF(D30&lt;&gt;"",VLOOKUP(D30,$AU$2:$AV$6,2,FALSE),"")</f>
        <v/>
      </c>
      <c r="AQ31" s="644" t="e">
        <f>ROUNDDOWN(AL31/$AL$6,2)</f>
        <v>#DIV/0!</v>
      </c>
      <c r="AR31" s="644" t="e">
        <f>IF(AP31=1,"",AQ31)</f>
        <v>#DIV/0!</v>
      </c>
    </row>
    <row r="32" spans="1:44" ht="15.9" customHeight="1">
      <c r="A32" s="582"/>
      <c r="B32" s="1655" t="s">
        <v>1245</v>
      </c>
      <c r="C32" s="1640"/>
      <c r="D32" s="1642"/>
      <c r="E32" s="1644"/>
      <c r="F32" s="627" t="s">
        <v>1233</v>
      </c>
      <c r="G32" s="628"/>
      <c r="H32" s="629"/>
      <c r="I32" s="630"/>
      <c r="J32" s="630"/>
      <c r="K32" s="630"/>
      <c r="L32" s="630"/>
      <c r="M32" s="631"/>
      <c r="N32" s="628"/>
      <c r="O32" s="629"/>
      <c r="P32" s="630"/>
      <c r="Q32" s="630"/>
      <c r="R32" s="630"/>
      <c r="S32" s="630"/>
      <c r="T32" s="631"/>
      <c r="U32" s="628"/>
      <c r="V32" s="629"/>
      <c r="W32" s="630"/>
      <c r="X32" s="630"/>
      <c r="Y32" s="630"/>
      <c r="Z32" s="630"/>
      <c r="AA32" s="631"/>
      <c r="AB32" s="628"/>
      <c r="AC32" s="629"/>
      <c r="AD32" s="630"/>
      <c r="AE32" s="630"/>
      <c r="AF32" s="630"/>
      <c r="AG32" s="630"/>
      <c r="AH32" s="631"/>
      <c r="AI32" s="648"/>
      <c r="AJ32" s="629"/>
      <c r="AK32" s="629"/>
      <c r="AL32" s="633">
        <f>SUM(G33:AK33)</f>
        <v>0</v>
      </c>
      <c r="AM32" s="634"/>
      <c r="AN32" s="635"/>
      <c r="AO32" s="636"/>
      <c r="AP32" s="634"/>
      <c r="AQ32" s="637"/>
      <c r="AR32" s="637"/>
    </row>
    <row r="33" spans="1:44" ht="15.9" customHeight="1">
      <c r="A33" s="582"/>
      <c r="B33" s="1655"/>
      <c r="C33" s="1656"/>
      <c r="D33" s="1657"/>
      <c r="E33" s="1658"/>
      <c r="F33" s="638" t="s">
        <v>1234</v>
      </c>
      <c r="G33" s="639" t="str">
        <f t="shared" ref="G33:AK33" si="12">IF(G32&lt;&gt;"",VLOOKUP(G32,$AC$197:$AL$221,9,FALSE),"")</f>
        <v/>
      </c>
      <c r="H33" s="640" t="str">
        <f t="shared" si="12"/>
        <v/>
      </c>
      <c r="I33" s="640" t="str">
        <f t="shared" si="12"/>
        <v/>
      </c>
      <c r="J33" s="640" t="str">
        <f t="shared" si="12"/>
        <v/>
      </c>
      <c r="K33" s="640" t="str">
        <f t="shared" si="12"/>
        <v/>
      </c>
      <c r="L33" s="640" t="str">
        <f t="shared" si="12"/>
        <v/>
      </c>
      <c r="M33" s="641" t="str">
        <f t="shared" si="12"/>
        <v/>
      </c>
      <c r="N33" s="639" t="str">
        <f t="shared" si="12"/>
        <v/>
      </c>
      <c r="O33" s="640" t="str">
        <f t="shared" si="12"/>
        <v/>
      </c>
      <c r="P33" s="640" t="str">
        <f t="shared" si="12"/>
        <v/>
      </c>
      <c r="Q33" s="640" t="str">
        <f t="shared" si="12"/>
        <v/>
      </c>
      <c r="R33" s="640" t="str">
        <f t="shared" si="12"/>
        <v/>
      </c>
      <c r="S33" s="640" t="str">
        <f t="shared" si="12"/>
        <v/>
      </c>
      <c r="T33" s="641" t="str">
        <f t="shared" si="12"/>
        <v/>
      </c>
      <c r="U33" s="639" t="str">
        <f t="shared" si="12"/>
        <v/>
      </c>
      <c r="V33" s="640" t="str">
        <f t="shared" si="12"/>
        <v/>
      </c>
      <c r="W33" s="640" t="str">
        <f t="shared" si="12"/>
        <v/>
      </c>
      <c r="X33" s="640" t="str">
        <f t="shared" si="12"/>
        <v/>
      </c>
      <c r="Y33" s="640" t="str">
        <f t="shared" si="12"/>
        <v/>
      </c>
      <c r="Z33" s="640" t="str">
        <f t="shared" si="12"/>
        <v/>
      </c>
      <c r="AA33" s="641" t="str">
        <f t="shared" si="12"/>
        <v/>
      </c>
      <c r="AB33" s="639" t="str">
        <f t="shared" si="12"/>
        <v/>
      </c>
      <c r="AC33" s="640" t="str">
        <f t="shared" si="12"/>
        <v/>
      </c>
      <c r="AD33" s="640" t="str">
        <f t="shared" si="12"/>
        <v/>
      </c>
      <c r="AE33" s="640" t="str">
        <f t="shared" si="12"/>
        <v/>
      </c>
      <c r="AF33" s="640" t="str">
        <f t="shared" si="12"/>
        <v/>
      </c>
      <c r="AG33" s="640" t="str">
        <f t="shared" si="12"/>
        <v/>
      </c>
      <c r="AH33" s="641" t="str">
        <f t="shared" si="12"/>
        <v/>
      </c>
      <c r="AI33" s="642" t="str">
        <f t="shared" si="12"/>
        <v/>
      </c>
      <c r="AJ33" s="640" t="str">
        <f t="shared" si="12"/>
        <v/>
      </c>
      <c r="AK33" s="640" t="str">
        <f t="shared" si="12"/>
        <v/>
      </c>
      <c r="AL33" s="643">
        <f>SUM(G33:AH33)</f>
        <v>0</v>
      </c>
      <c r="AM33" s="644">
        <f>AL33/4</f>
        <v>0</v>
      </c>
      <c r="AN33" s="645" t="str">
        <f>IF(C32="","",C32)</f>
        <v/>
      </c>
      <c r="AO33" s="646" t="str">
        <f>IF(D32="","",D32)</f>
        <v/>
      </c>
      <c r="AP33" s="647" t="str">
        <f>IF(D32&lt;&gt;"",VLOOKUP(D32,$AU$2:$AV$6,2,FALSE),"")</f>
        <v/>
      </c>
      <c r="AQ33" s="644" t="e">
        <f>ROUNDDOWN(AL33/$AL$6,2)</f>
        <v>#DIV/0!</v>
      </c>
      <c r="AR33" s="644" t="e">
        <f>IF(AP33=1,"",AQ33)</f>
        <v>#DIV/0!</v>
      </c>
    </row>
    <row r="34" spans="1:44" ht="15.9" customHeight="1">
      <c r="A34" s="582"/>
      <c r="B34" s="1655" t="s">
        <v>1246</v>
      </c>
      <c r="C34" s="1640"/>
      <c r="D34" s="1642"/>
      <c r="E34" s="1644"/>
      <c r="F34" s="627" t="s">
        <v>1233</v>
      </c>
      <c r="G34" s="628"/>
      <c r="H34" s="629"/>
      <c r="I34" s="630"/>
      <c r="J34" s="630"/>
      <c r="K34" s="630"/>
      <c r="L34" s="630"/>
      <c r="M34" s="631"/>
      <c r="N34" s="628"/>
      <c r="O34" s="629"/>
      <c r="P34" s="630"/>
      <c r="Q34" s="630"/>
      <c r="R34" s="630"/>
      <c r="S34" s="630"/>
      <c r="T34" s="631"/>
      <c r="U34" s="628"/>
      <c r="V34" s="629"/>
      <c r="W34" s="630"/>
      <c r="X34" s="630"/>
      <c r="Y34" s="630"/>
      <c r="Z34" s="630"/>
      <c r="AA34" s="631"/>
      <c r="AB34" s="628"/>
      <c r="AC34" s="629"/>
      <c r="AD34" s="630"/>
      <c r="AE34" s="630"/>
      <c r="AF34" s="630"/>
      <c r="AG34" s="630"/>
      <c r="AH34" s="631"/>
      <c r="AI34" s="632"/>
      <c r="AJ34" s="630"/>
      <c r="AK34" s="630"/>
      <c r="AL34" s="633">
        <f>SUM(G35:AK35)</f>
        <v>0</v>
      </c>
      <c r="AM34" s="634"/>
      <c r="AN34" s="635"/>
      <c r="AO34" s="636"/>
      <c r="AP34" s="634"/>
      <c r="AQ34" s="637"/>
      <c r="AR34" s="637"/>
    </row>
    <row r="35" spans="1:44" ht="15.9" customHeight="1">
      <c r="A35" s="582"/>
      <c r="B35" s="1655"/>
      <c r="C35" s="1656"/>
      <c r="D35" s="1657"/>
      <c r="E35" s="1658"/>
      <c r="F35" s="638" t="s">
        <v>1234</v>
      </c>
      <c r="G35" s="639" t="str">
        <f t="shared" ref="G35:AK35" si="13">IF(G34&lt;&gt;"",VLOOKUP(G34,$AC$197:$AL$221,9,FALSE),"")</f>
        <v/>
      </c>
      <c r="H35" s="640" t="str">
        <f t="shared" si="13"/>
        <v/>
      </c>
      <c r="I35" s="640" t="str">
        <f t="shared" si="13"/>
        <v/>
      </c>
      <c r="J35" s="640" t="str">
        <f t="shared" si="13"/>
        <v/>
      </c>
      <c r="K35" s="640" t="str">
        <f t="shared" si="13"/>
        <v/>
      </c>
      <c r="L35" s="640" t="str">
        <f t="shared" si="13"/>
        <v/>
      </c>
      <c r="M35" s="641" t="str">
        <f t="shared" si="13"/>
        <v/>
      </c>
      <c r="N35" s="639" t="str">
        <f t="shared" si="13"/>
        <v/>
      </c>
      <c r="O35" s="640" t="str">
        <f t="shared" si="13"/>
        <v/>
      </c>
      <c r="P35" s="640" t="str">
        <f t="shared" si="13"/>
        <v/>
      </c>
      <c r="Q35" s="640" t="str">
        <f t="shared" si="13"/>
        <v/>
      </c>
      <c r="R35" s="640" t="str">
        <f t="shared" si="13"/>
        <v/>
      </c>
      <c r="S35" s="640" t="str">
        <f t="shared" si="13"/>
        <v/>
      </c>
      <c r="T35" s="641" t="str">
        <f t="shared" si="13"/>
        <v/>
      </c>
      <c r="U35" s="639" t="str">
        <f t="shared" si="13"/>
        <v/>
      </c>
      <c r="V35" s="640" t="str">
        <f t="shared" si="13"/>
        <v/>
      </c>
      <c r="W35" s="640" t="str">
        <f t="shared" si="13"/>
        <v/>
      </c>
      <c r="X35" s="640" t="str">
        <f t="shared" si="13"/>
        <v/>
      </c>
      <c r="Y35" s="640" t="str">
        <f t="shared" si="13"/>
        <v/>
      </c>
      <c r="Z35" s="640" t="str">
        <f t="shared" si="13"/>
        <v/>
      </c>
      <c r="AA35" s="641" t="str">
        <f t="shared" si="13"/>
        <v/>
      </c>
      <c r="AB35" s="639" t="str">
        <f t="shared" si="13"/>
        <v/>
      </c>
      <c r="AC35" s="640" t="str">
        <f t="shared" si="13"/>
        <v/>
      </c>
      <c r="AD35" s="640" t="str">
        <f t="shared" si="13"/>
        <v/>
      </c>
      <c r="AE35" s="640" t="str">
        <f t="shared" si="13"/>
        <v/>
      </c>
      <c r="AF35" s="640" t="str">
        <f t="shared" si="13"/>
        <v/>
      </c>
      <c r="AG35" s="640" t="str">
        <f t="shared" si="13"/>
        <v/>
      </c>
      <c r="AH35" s="641" t="str">
        <f t="shared" si="13"/>
        <v/>
      </c>
      <c r="AI35" s="642" t="str">
        <f t="shared" si="13"/>
        <v/>
      </c>
      <c r="AJ35" s="640" t="str">
        <f t="shared" si="13"/>
        <v/>
      </c>
      <c r="AK35" s="640" t="str">
        <f t="shared" si="13"/>
        <v/>
      </c>
      <c r="AL35" s="643">
        <f>SUM(G35:AH35)</f>
        <v>0</v>
      </c>
      <c r="AM35" s="644">
        <f>AL35/4</f>
        <v>0</v>
      </c>
      <c r="AN35" s="645" t="str">
        <f>IF(C34="","",C34)</f>
        <v/>
      </c>
      <c r="AO35" s="646" t="str">
        <f>IF(D34="","",D34)</f>
        <v/>
      </c>
      <c r="AP35" s="647" t="str">
        <f>IF(D34&lt;&gt;"",VLOOKUP(D34,$AU$2:$AV$6,2,FALSE),"")</f>
        <v/>
      </c>
      <c r="AQ35" s="644" t="e">
        <f>ROUNDDOWN(AL35/$AL$6,2)</f>
        <v>#DIV/0!</v>
      </c>
      <c r="AR35" s="644" t="e">
        <f>IF(AP35=1,"",AQ35)</f>
        <v>#DIV/0!</v>
      </c>
    </row>
    <row r="36" spans="1:44" ht="15.9" customHeight="1">
      <c r="A36" s="582"/>
      <c r="B36" s="1655" t="s">
        <v>1247</v>
      </c>
      <c r="C36" s="1640"/>
      <c r="D36" s="1642"/>
      <c r="E36" s="1644"/>
      <c r="F36" s="627" t="s">
        <v>1233</v>
      </c>
      <c r="G36" s="628"/>
      <c r="H36" s="629"/>
      <c r="I36" s="630"/>
      <c r="J36" s="630"/>
      <c r="K36" s="630"/>
      <c r="L36" s="630"/>
      <c r="M36" s="631"/>
      <c r="N36" s="628"/>
      <c r="O36" s="629"/>
      <c r="P36" s="630"/>
      <c r="Q36" s="630"/>
      <c r="R36" s="630"/>
      <c r="S36" s="630"/>
      <c r="T36" s="631"/>
      <c r="U36" s="628"/>
      <c r="V36" s="629"/>
      <c r="W36" s="630"/>
      <c r="X36" s="630"/>
      <c r="Y36" s="630"/>
      <c r="Z36" s="630"/>
      <c r="AA36" s="631"/>
      <c r="AB36" s="628"/>
      <c r="AC36" s="629"/>
      <c r="AD36" s="630"/>
      <c r="AE36" s="630"/>
      <c r="AF36" s="630"/>
      <c r="AG36" s="630"/>
      <c r="AH36" s="631"/>
      <c r="AI36" s="632"/>
      <c r="AJ36" s="630"/>
      <c r="AK36" s="630"/>
      <c r="AL36" s="633">
        <f>SUM(G37:AK37)</f>
        <v>0</v>
      </c>
      <c r="AM36" s="634"/>
      <c r="AN36" s="635"/>
      <c r="AO36" s="636"/>
      <c r="AP36" s="634"/>
      <c r="AQ36" s="637"/>
      <c r="AR36" s="637"/>
    </row>
    <row r="37" spans="1:44" ht="15.9" customHeight="1">
      <c r="A37" s="582"/>
      <c r="B37" s="1655"/>
      <c r="C37" s="1656"/>
      <c r="D37" s="1657"/>
      <c r="E37" s="1658"/>
      <c r="F37" s="638" t="s">
        <v>1234</v>
      </c>
      <c r="G37" s="639" t="str">
        <f t="shared" ref="G37:AK37" si="14">IF(G36&lt;&gt;"",VLOOKUP(G36,$AC$197:$AL$221,9,FALSE),"")</f>
        <v/>
      </c>
      <c r="H37" s="640" t="str">
        <f t="shared" si="14"/>
        <v/>
      </c>
      <c r="I37" s="640" t="str">
        <f t="shared" si="14"/>
        <v/>
      </c>
      <c r="J37" s="640" t="str">
        <f t="shared" si="14"/>
        <v/>
      </c>
      <c r="K37" s="640" t="str">
        <f t="shared" si="14"/>
        <v/>
      </c>
      <c r="L37" s="640" t="str">
        <f t="shared" si="14"/>
        <v/>
      </c>
      <c r="M37" s="641" t="str">
        <f t="shared" si="14"/>
        <v/>
      </c>
      <c r="N37" s="639" t="str">
        <f t="shared" si="14"/>
        <v/>
      </c>
      <c r="O37" s="640" t="str">
        <f t="shared" si="14"/>
        <v/>
      </c>
      <c r="P37" s="640" t="str">
        <f t="shared" si="14"/>
        <v/>
      </c>
      <c r="Q37" s="640" t="str">
        <f t="shared" si="14"/>
        <v/>
      </c>
      <c r="R37" s="640" t="str">
        <f t="shared" si="14"/>
        <v/>
      </c>
      <c r="S37" s="640" t="str">
        <f t="shared" si="14"/>
        <v/>
      </c>
      <c r="T37" s="641" t="str">
        <f t="shared" si="14"/>
        <v/>
      </c>
      <c r="U37" s="639" t="str">
        <f t="shared" si="14"/>
        <v/>
      </c>
      <c r="V37" s="640" t="str">
        <f t="shared" si="14"/>
        <v/>
      </c>
      <c r="W37" s="640" t="str">
        <f t="shared" si="14"/>
        <v/>
      </c>
      <c r="X37" s="640" t="str">
        <f t="shared" si="14"/>
        <v/>
      </c>
      <c r="Y37" s="640" t="str">
        <f t="shared" si="14"/>
        <v/>
      </c>
      <c r="Z37" s="640" t="str">
        <f t="shared" si="14"/>
        <v/>
      </c>
      <c r="AA37" s="641" t="str">
        <f t="shared" si="14"/>
        <v/>
      </c>
      <c r="AB37" s="639" t="str">
        <f t="shared" si="14"/>
        <v/>
      </c>
      <c r="AC37" s="640" t="str">
        <f t="shared" si="14"/>
        <v/>
      </c>
      <c r="AD37" s="640" t="str">
        <f t="shared" si="14"/>
        <v/>
      </c>
      <c r="AE37" s="640" t="str">
        <f t="shared" si="14"/>
        <v/>
      </c>
      <c r="AF37" s="640" t="str">
        <f t="shared" si="14"/>
        <v/>
      </c>
      <c r="AG37" s="640" t="str">
        <f t="shared" si="14"/>
        <v/>
      </c>
      <c r="AH37" s="641" t="str">
        <f t="shared" si="14"/>
        <v/>
      </c>
      <c r="AI37" s="642" t="str">
        <f t="shared" si="14"/>
        <v/>
      </c>
      <c r="AJ37" s="640" t="str">
        <f t="shared" si="14"/>
        <v/>
      </c>
      <c r="AK37" s="640" t="str">
        <f t="shared" si="14"/>
        <v/>
      </c>
      <c r="AL37" s="643">
        <f>SUM(G37:AH37)</f>
        <v>0</v>
      </c>
      <c r="AM37" s="644">
        <f>AL37/4</f>
        <v>0</v>
      </c>
      <c r="AN37" s="645" t="str">
        <f>IF(C36="","",C36)</f>
        <v/>
      </c>
      <c r="AO37" s="646" t="str">
        <f>IF(D36="","",D36)</f>
        <v/>
      </c>
      <c r="AP37" s="647" t="str">
        <f>IF(D36&lt;&gt;"",VLOOKUP(D36,$AU$2:$AV$6,2,FALSE),"")</f>
        <v/>
      </c>
      <c r="AQ37" s="644" t="e">
        <f>ROUNDDOWN(AL37/$AL$6,2)</f>
        <v>#DIV/0!</v>
      </c>
      <c r="AR37" s="644" t="e">
        <f>IF(AP37=1,"",AQ37)</f>
        <v>#DIV/0!</v>
      </c>
    </row>
    <row r="38" spans="1:44" ht="15.9" customHeight="1">
      <c r="A38" s="582"/>
      <c r="B38" s="1655" t="s">
        <v>1248</v>
      </c>
      <c r="C38" s="1640"/>
      <c r="D38" s="1642"/>
      <c r="E38" s="1644"/>
      <c r="F38" s="627" t="s">
        <v>1233</v>
      </c>
      <c r="G38" s="628"/>
      <c r="H38" s="629"/>
      <c r="I38" s="630"/>
      <c r="J38" s="630"/>
      <c r="K38" s="630"/>
      <c r="L38" s="630"/>
      <c r="M38" s="631"/>
      <c r="N38" s="628"/>
      <c r="O38" s="629"/>
      <c r="P38" s="630"/>
      <c r="Q38" s="630"/>
      <c r="R38" s="630"/>
      <c r="S38" s="630"/>
      <c r="T38" s="631"/>
      <c r="U38" s="628"/>
      <c r="V38" s="629"/>
      <c r="W38" s="630"/>
      <c r="X38" s="630"/>
      <c r="Y38" s="630"/>
      <c r="Z38" s="630"/>
      <c r="AA38" s="631"/>
      <c r="AB38" s="628"/>
      <c r="AC38" s="629"/>
      <c r="AD38" s="630"/>
      <c r="AE38" s="630"/>
      <c r="AF38" s="630"/>
      <c r="AG38" s="630"/>
      <c r="AH38" s="631"/>
      <c r="AI38" s="648"/>
      <c r="AJ38" s="629"/>
      <c r="AK38" s="629"/>
      <c r="AL38" s="633">
        <f>SUM(G39:AK39)</f>
        <v>0</v>
      </c>
      <c r="AM38" s="634"/>
      <c r="AN38" s="635"/>
      <c r="AO38" s="636"/>
      <c r="AP38" s="634"/>
      <c r="AQ38" s="637"/>
      <c r="AR38" s="637"/>
    </row>
    <row r="39" spans="1:44" ht="15.9" customHeight="1">
      <c r="A39" s="582"/>
      <c r="B39" s="1655"/>
      <c r="C39" s="1656"/>
      <c r="D39" s="1657"/>
      <c r="E39" s="1658"/>
      <c r="F39" s="638" t="s">
        <v>1234</v>
      </c>
      <c r="G39" s="639" t="str">
        <f t="shared" ref="G39:AK39" si="15">IF(G38&lt;&gt;"",VLOOKUP(G38,$AC$197:$AL$221,9,FALSE),"")</f>
        <v/>
      </c>
      <c r="H39" s="640" t="str">
        <f t="shared" si="15"/>
        <v/>
      </c>
      <c r="I39" s="640" t="str">
        <f t="shared" si="15"/>
        <v/>
      </c>
      <c r="J39" s="640" t="str">
        <f t="shared" si="15"/>
        <v/>
      </c>
      <c r="K39" s="640" t="str">
        <f t="shared" si="15"/>
        <v/>
      </c>
      <c r="L39" s="640" t="str">
        <f t="shared" si="15"/>
        <v/>
      </c>
      <c r="M39" s="641" t="str">
        <f t="shared" si="15"/>
        <v/>
      </c>
      <c r="N39" s="639" t="str">
        <f t="shared" si="15"/>
        <v/>
      </c>
      <c r="O39" s="640" t="str">
        <f t="shared" si="15"/>
        <v/>
      </c>
      <c r="P39" s="640" t="str">
        <f t="shared" si="15"/>
        <v/>
      </c>
      <c r="Q39" s="640" t="str">
        <f t="shared" si="15"/>
        <v/>
      </c>
      <c r="R39" s="640" t="str">
        <f t="shared" si="15"/>
        <v/>
      </c>
      <c r="S39" s="640" t="str">
        <f t="shared" si="15"/>
        <v/>
      </c>
      <c r="T39" s="641" t="str">
        <f t="shared" si="15"/>
        <v/>
      </c>
      <c r="U39" s="639" t="str">
        <f t="shared" si="15"/>
        <v/>
      </c>
      <c r="V39" s="640" t="str">
        <f t="shared" si="15"/>
        <v/>
      </c>
      <c r="W39" s="640" t="str">
        <f t="shared" si="15"/>
        <v/>
      </c>
      <c r="X39" s="640" t="str">
        <f t="shared" si="15"/>
        <v/>
      </c>
      <c r="Y39" s="640" t="str">
        <f t="shared" si="15"/>
        <v/>
      </c>
      <c r="Z39" s="640" t="str">
        <f t="shared" si="15"/>
        <v/>
      </c>
      <c r="AA39" s="641" t="str">
        <f t="shared" si="15"/>
        <v/>
      </c>
      <c r="AB39" s="639" t="str">
        <f t="shared" si="15"/>
        <v/>
      </c>
      <c r="AC39" s="640" t="str">
        <f t="shared" si="15"/>
        <v/>
      </c>
      <c r="AD39" s="640" t="str">
        <f t="shared" si="15"/>
        <v/>
      </c>
      <c r="AE39" s="640" t="str">
        <f t="shared" si="15"/>
        <v/>
      </c>
      <c r="AF39" s="640" t="str">
        <f t="shared" si="15"/>
        <v/>
      </c>
      <c r="AG39" s="640" t="str">
        <f t="shared" si="15"/>
        <v/>
      </c>
      <c r="AH39" s="641" t="str">
        <f t="shared" si="15"/>
        <v/>
      </c>
      <c r="AI39" s="642" t="str">
        <f t="shared" si="15"/>
        <v/>
      </c>
      <c r="AJ39" s="640" t="str">
        <f t="shared" si="15"/>
        <v/>
      </c>
      <c r="AK39" s="640" t="str">
        <f t="shared" si="15"/>
        <v/>
      </c>
      <c r="AL39" s="643">
        <f>SUM(G39:AH39)</f>
        <v>0</v>
      </c>
      <c r="AM39" s="644">
        <f>AL39/4</f>
        <v>0</v>
      </c>
      <c r="AN39" s="645" t="str">
        <f>IF(C38="","",C38)</f>
        <v/>
      </c>
      <c r="AO39" s="646" t="str">
        <f>IF(D38="","",D38)</f>
        <v/>
      </c>
      <c r="AP39" s="647" t="str">
        <f>IF(D38&lt;&gt;"",VLOOKUP(D38,$AU$2:$AV$6,2,FALSE),"")</f>
        <v/>
      </c>
      <c r="AQ39" s="644" t="e">
        <f>ROUNDDOWN(AL39/$AL$6,2)</f>
        <v>#DIV/0!</v>
      </c>
      <c r="AR39" s="644" t="e">
        <f>IF(AP39=1,"",AQ39)</f>
        <v>#DIV/0!</v>
      </c>
    </row>
    <row r="40" spans="1:44" ht="15.9" customHeight="1">
      <c r="A40" s="582"/>
      <c r="B40" s="1655" t="s">
        <v>1249</v>
      </c>
      <c r="C40" s="1640"/>
      <c r="D40" s="1642"/>
      <c r="E40" s="1644"/>
      <c r="F40" s="627" t="s">
        <v>1233</v>
      </c>
      <c r="G40" s="628"/>
      <c r="H40" s="629"/>
      <c r="I40" s="630"/>
      <c r="J40" s="630"/>
      <c r="K40" s="630"/>
      <c r="L40" s="630"/>
      <c r="M40" s="631"/>
      <c r="N40" s="628"/>
      <c r="O40" s="629"/>
      <c r="P40" s="630"/>
      <c r="Q40" s="630"/>
      <c r="R40" s="630"/>
      <c r="S40" s="630"/>
      <c r="T40" s="631"/>
      <c r="U40" s="628"/>
      <c r="V40" s="629"/>
      <c r="W40" s="630"/>
      <c r="X40" s="630"/>
      <c r="Y40" s="630"/>
      <c r="Z40" s="630"/>
      <c r="AA40" s="631"/>
      <c r="AB40" s="628"/>
      <c r="AC40" s="629"/>
      <c r="AD40" s="630"/>
      <c r="AE40" s="630"/>
      <c r="AF40" s="630"/>
      <c r="AG40" s="630"/>
      <c r="AH40" s="631"/>
      <c r="AI40" s="648"/>
      <c r="AJ40" s="629"/>
      <c r="AK40" s="629"/>
      <c r="AL40" s="633">
        <f>SUM(G41:AK41)</f>
        <v>0</v>
      </c>
      <c r="AM40" s="634"/>
      <c r="AN40" s="635"/>
      <c r="AO40" s="636"/>
      <c r="AP40" s="634"/>
      <c r="AQ40" s="637"/>
      <c r="AR40" s="637"/>
    </row>
    <row r="41" spans="1:44" ht="15.9" customHeight="1">
      <c r="A41" s="582"/>
      <c r="B41" s="1655"/>
      <c r="C41" s="1656"/>
      <c r="D41" s="1657"/>
      <c r="E41" s="1658"/>
      <c r="F41" s="638" t="s">
        <v>1234</v>
      </c>
      <c r="G41" s="639" t="str">
        <f t="shared" ref="G41:AK41" si="16">IF(G40&lt;&gt;"",VLOOKUP(G40,$AC$197:$AL$221,9,FALSE),"")</f>
        <v/>
      </c>
      <c r="H41" s="640" t="str">
        <f t="shared" si="16"/>
        <v/>
      </c>
      <c r="I41" s="640" t="str">
        <f t="shared" si="16"/>
        <v/>
      </c>
      <c r="J41" s="640" t="str">
        <f t="shared" si="16"/>
        <v/>
      </c>
      <c r="K41" s="640" t="str">
        <f t="shared" si="16"/>
        <v/>
      </c>
      <c r="L41" s="640" t="str">
        <f t="shared" si="16"/>
        <v/>
      </c>
      <c r="M41" s="641" t="str">
        <f t="shared" si="16"/>
        <v/>
      </c>
      <c r="N41" s="639" t="str">
        <f t="shared" si="16"/>
        <v/>
      </c>
      <c r="O41" s="640" t="str">
        <f t="shared" si="16"/>
        <v/>
      </c>
      <c r="P41" s="640" t="str">
        <f t="shared" si="16"/>
        <v/>
      </c>
      <c r="Q41" s="640" t="str">
        <f t="shared" si="16"/>
        <v/>
      </c>
      <c r="R41" s="640" t="str">
        <f t="shared" si="16"/>
        <v/>
      </c>
      <c r="S41" s="640" t="str">
        <f t="shared" si="16"/>
        <v/>
      </c>
      <c r="T41" s="641" t="str">
        <f t="shared" si="16"/>
        <v/>
      </c>
      <c r="U41" s="639" t="str">
        <f t="shared" si="16"/>
        <v/>
      </c>
      <c r="V41" s="640" t="str">
        <f t="shared" si="16"/>
        <v/>
      </c>
      <c r="W41" s="640" t="str">
        <f t="shared" si="16"/>
        <v/>
      </c>
      <c r="X41" s="640" t="str">
        <f t="shared" si="16"/>
        <v/>
      </c>
      <c r="Y41" s="640" t="str">
        <f t="shared" si="16"/>
        <v/>
      </c>
      <c r="Z41" s="640" t="str">
        <f t="shared" si="16"/>
        <v/>
      </c>
      <c r="AA41" s="641" t="str">
        <f t="shared" si="16"/>
        <v/>
      </c>
      <c r="AB41" s="639" t="str">
        <f t="shared" si="16"/>
        <v/>
      </c>
      <c r="AC41" s="640" t="str">
        <f t="shared" si="16"/>
        <v/>
      </c>
      <c r="AD41" s="640" t="str">
        <f t="shared" si="16"/>
        <v/>
      </c>
      <c r="AE41" s="640" t="str">
        <f t="shared" si="16"/>
        <v/>
      </c>
      <c r="AF41" s="640" t="str">
        <f t="shared" si="16"/>
        <v/>
      </c>
      <c r="AG41" s="640" t="str">
        <f t="shared" si="16"/>
        <v/>
      </c>
      <c r="AH41" s="641" t="str">
        <f t="shared" si="16"/>
        <v/>
      </c>
      <c r="AI41" s="642" t="str">
        <f t="shared" si="16"/>
        <v/>
      </c>
      <c r="AJ41" s="640" t="str">
        <f t="shared" si="16"/>
        <v/>
      </c>
      <c r="AK41" s="640" t="str">
        <f t="shared" si="16"/>
        <v/>
      </c>
      <c r="AL41" s="643">
        <f>SUM(G41:AH41)</f>
        <v>0</v>
      </c>
      <c r="AM41" s="644">
        <f>AL41/4</f>
        <v>0</v>
      </c>
      <c r="AN41" s="645" t="str">
        <f>IF(C40="","",C40)</f>
        <v/>
      </c>
      <c r="AO41" s="646" t="str">
        <f>IF(D40="","",D40)</f>
        <v/>
      </c>
      <c r="AP41" s="647" t="str">
        <f>IF(D40&lt;&gt;"",VLOOKUP(D40,$AU$2:$AV$6,2,FALSE),"")</f>
        <v/>
      </c>
      <c r="AQ41" s="644" t="e">
        <f>ROUNDDOWN(AL41/$AL$6,2)</f>
        <v>#DIV/0!</v>
      </c>
      <c r="AR41" s="644" t="e">
        <f>IF(AP41=1,"",AQ41)</f>
        <v>#DIV/0!</v>
      </c>
    </row>
    <row r="42" spans="1:44" ht="15.9" customHeight="1">
      <c r="A42" s="582"/>
      <c r="B42" s="1655" t="s">
        <v>1250</v>
      </c>
      <c r="C42" s="1640"/>
      <c r="D42" s="1642"/>
      <c r="E42" s="1644"/>
      <c r="F42" s="627" t="s">
        <v>1233</v>
      </c>
      <c r="G42" s="628"/>
      <c r="H42" s="629"/>
      <c r="I42" s="630"/>
      <c r="J42" s="630"/>
      <c r="K42" s="630"/>
      <c r="L42" s="630"/>
      <c r="M42" s="631"/>
      <c r="N42" s="628"/>
      <c r="O42" s="629"/>
      <c r="P42" s="630"/>
      <c r="Q42" s="630"/>
      <c r="R42" s="630"/>
      <c r="S42" s="630"/>
      <c r="T42" s="631"/>
      <c r="U42" s="628"/>
      <c r="V42" s="629"/>
      <c r="W42" s="630"/>
      <c r="X42" s="630"/>
      <c r="Y42" s="630"/>
      <c r="Z42" s="630"/>
      <c r="AA42" s="631"/>
      <c r="AB42" s="628"/>
      <c r="AC42" s="629"/>
      <c r="AD42" s="630"/>
      <c r="AE42" s="630"/>
      <c r="AF42" s="630"/>
      <c r="AG42" s="630"/>
      <c r="AH42" s="631"/>
      <c r="AI42" s="632"/>
      <c r="AJ42" s="630"/>
      <c r="AK42" s="630"/>
      <c r="AL42" s="633">
        <f>SUM(G43:AK43)</f>
        <v>0</v>
      </c>
      <c r="AM42" s="634"/>
      <c r="AN42" s="635"/>
      <c r="AO42" s="636"/>
      <c r="AP42" s="634"/>
      <c r="AQ42" s="637"/>
      <c r="AR42" s="637"/>
    </row>
    <row r="43" spans="1:44" ht="15.9" customHeight="1">
      <c r="A43" s="582"/>
      <c r="B43" s="1655"/>
      <c r="C43" s="1656"/>
      <c r="D43" s="1657"/>
      <c r="E43" s="1658"/>
      <c r="F43" s="638" t="s">
        <v>1234</v>
      </c>
      <c r="G43" s="639" t="str">
        <f t="shared" ref="G43:AK43" si="17">IF(G42&lt;&gt;"",VLOOKUP(G42,$AC$197:$AL$221,9,FALSE),"")</f>
        <v/>
      </c>
      <c r="H43" s="640" t="str">
        <f t="shared" si="17"/>
        <v/>
      </c>
      <c r="I43" s="640" t="str">
        <f t="shared" si="17"/>
        <v/>
      </c>
      <c r="J43" s="640" t="str">
        <f t="shared" si="17"/>
        <v/>
      </c>
      <c r="K43" s="640" t="str">
        <f t="shared" si="17"/>
        <v/>
      </c>
      <c r="L43" s="640" t="str">
        <f t="shared" si="17"/>
        <v/>
      </c>
      <c r="M43" s="641" t="str">
        <f t="shared" si="17"/>
        <v/>
      </c>
      <c r="N43" s="639" t="str">
        <f t="shared" si="17"/>
        <v/>
      </c>
      <c r="O43" s="640" t="str">
        <f t="shared" si="17"/>
        <v/>
      </c>
      <c r="P43" s="640" t="str">
        <f t="shared" si="17"/>
        <v/>
      </c>
      <c r="Q43" s="640" t="str">
        <f t="shared" si="17"/>
        <v/>
      </c>
      <c r="R43" s="640" t="str">
        <f t="shared" si="17"/>
        <v/>
      </c>
      <c r="S43" s="640" t="str">
        <f t="shared" si="17"/>
        <v/>
      </c>
      <c r="T43" s="641" t="str">
        <f t="shared" si="17"/>
        <v/>
      </c>
      <c r="U43" s="639" t="str">
        <f t="shared" si="17"/>
        <v/>
      </c>
      <c r="V43" s="640" t="str">
        <f t="shared" si="17"/>
        <v/>
      </c>
      <c r="W43" s="640" t="str">
        <f t="shared" si="17"/>
        <v/>
      </c>
      <c r="X43" s="640" t="str">
        <f t="shared" si="17"/>
        <v/>
      </c>
      <c r="Y43" s="640" t="str">
        <f t="shared" si="17"/>
        <v/>
      </c>
      <c r="Z43" s="640" t="str">
        <f t="shared" si="17"/>
        <v/>
      </c>
      <c r="AA43" s="641" t="str">
        <f t="shared" si="17"/>
        <v/>
      </c>
      <c r="AB43" s="639" t="str">
        <f t="shared" si="17"/>
        <v/>
      </c>
      <c r="AC43" s="640" t="str">
        <f t="shared" si="17"/>
        <v/>
      </c>
      <c r="AD43" s="640" t="str">
        <f t="shared" si="17"/>
        <v/>
      </c>
      <c r="AE43" s="640" t="str">
        <f t="shared" si="17"/>
        <v/>
      </c>
      <c r="AF43" s="640" t="str">
        <f t="shared" si="17"/>
        <v/>
      </c>
      <c r="AG43" s="640" t="str">
        <f t="shared" si="17"/>
        <v/>
      </c>
      <c r="AH43" s="641" t="str">
        <f t="shared" si="17"/>
        <v/>
      </c>
      <c r="AI43" s="642" t="str">
        <f t="shared" si="17"/>
        <v/>
      </c>
      <c r="AJ43" s="640" t="str">
        <f t="shared" si="17"/>
        <v/>
      </c>
      <c r="AK43" s="640" t="str">
        <f t="shared" si="17"/>
        <v/>
      </c>
      <c r="AL43" s="643">
        <f>SUM(G43:AH43)</f>
        <v>0</v>
      </c>
      <c r="AM43" s="644">
        <f>AL43/4</f>
        <v>0</v>
      </c>
      <c r="AN43" s="645" t="str">
        <f>IF(C42="","",C42)</f>
        <v/>
      </c>
      <c r="AO43" s="646" t="str">
        <f>IF(D42="","",D42)</f>
        <v/>
      </c>
      <c r="AP43" s="647" t="str">
        <f>IF(D42&lt;&gt;"",VLOOKUP(D42,$AU$2:$AV$6,2,FALSE),"")</f>
        <v/>
      </c>
      <c r="AQ43" s="644" t="e">
        <f>ROUNDDOWN(AL43/$AL$6,2)</f>
        <v>#DIV/0!</v>
      </c>
      <c r="AR43" s="644" t="e">
        <f>IF(AP43=1,"",AQ43)</f>
        <v>#DIV/0!</v>
      </c>
    </row>
    <row r="44" spans="1:44" ht="15.9" customHeight="1">
      <c r="A44" s="582"/>
      <c r="B44" s="1655" t="s">
        <v>1251</v>
      </c>
      <c r="C44" s="1640"/>
      <c r="D44" s="1642"/>
      <c r="E44" s="1644"/>
      <c r="F44" s="627" t="s">
        <v>1233</v>
      </c>
      <c r="G44" s="628"/>
      <c r="H44" s="629"/>
      <c r="I44" s="630"/>
      <c r="J44" s="630"/>
      <c r="K44" s="630"/>
      <c r="L44" s="630"/>
      <c r="M44" s="631"/>
      <c r="N44" s="628"/>
      <c r="O44" s="629"/>
      <c r="P44" s="630"/>
      <c r="Q44" s="630"/>
      <c r="R44" s="630"/>
      <c r="S44" s="630"/>
      <c r="T44" s="631"/>
      <c r="U44" s="628"/>
      <c r="V44" s="629"/>
      <c r="W44" s="630"/>
      <c r="X44" s="630"/>
      <c r="Y44" s="630"/>
      <c r="Z44" s="630"/>
      <c r="AA44" s="631"/>
      <c r="AB44" s="628"/>
      <c r="AC44" s="629"/>
      <c r="AD44" s="630"/>
      <c r="AE44" s="630"/>
      <c r="AF44" s="630"/>
      <c r="AG44" s="630"/>
      <c r="AH44" s="631"/>
      <c r="AI44" s="632"/>
      <c r="AJ44" s="630"/>
      <c r="AK44" s="630"/>
      <c r="AL44" s="633">
        <f>SUM(G45:AK45)</f>
        <v>0</v>
      </c>
      <c r="AM44" s="634"/>
      <c r="AN44" s="635"/>
      <c r="AO44" s="636"/>
      <c r="AP44" s="634"/>
      <c r="AQ44" s="637"/>
      <c r="AR44" s="637"/>
    </row>
    <row r="45" spans="1:44" ht="15.9" customHeight="1">
      <c r="A45" s="582"/>
      <c r="B45" s="1655"/>
      <c r="C45" s="1656"/>
      <c r="D45" s="1657"/>
      <c r="E45" s="1658"/>
      <c r="F45" s="638" t="s">
        <v>1234</v>
      </c>
      <c r="G45" s="639" t="str">
        <f t="shared" ref="G45:AK45" si="18">IF(G44&lt;&gt;"",VLOOKUP(G44,$AC$197:$AL$221,9,FALSE),"")</f>
        <v/>
      </c>
      <c r="H45" s="640" t="str">
        <f t="shared" si="18"/>
        <v/>
      </c>
      <c r="I45" s="640" t="str">
        <f t="shared" si="18"/>
        <v/>
      </c>
      <c r="J45" s="640" t="str">
        <f t="shared" si="18"/>
        <v/>
      </c>
      <c r="K45" s="640" t="str">
        <f t="shared" si="18"/>
        <v/>
      </c>
      <c r="L45" s="640" t="str">
        <f t="shared" si="18"/>
        <v/>
      </c>
      <c r="M45" s="641" t="str">
        <f t="shared" si="18"/>
        <v/>
      </c>
      <c r="N45" s="639" t="str">
        <f t="shared" si="18"/>
        <v/>
      </c>
      <c r="O45" s="640" t="str">
        <f t="shared" si="18"/>
        <v/>
      </c>
      <c r="P45" s="640" t="str">
        <f t="shared" si="18"/>
        <v/>
      </c>
      <c r="Q45" s="640" t="str">
        <f t="shared" si="18"/>
        <v/>
      </c>
      <c r="R45" s="640" t="str">
        <f t="shared" si="18"/>
        <v/>
      </c>
      <c r="S45" s="640" t="str">
        <f t="shared" si="18"/>
        <v/>
      </c>
      <c r="T45" s="641" t="str">
        <f t="shared" si="18"/>
        <v/>
      </c>
      <c r="U45" s="639" t="str">
        <f t="shared" si="18"/>
        <v/>
      </c>
      <c r="V45" s="640" t="str">
        <f t="shared" si="18"/>
        <v/>
      </c>
      <c r="W45" s="640" t="str">
        <f t="shared" si="18"/>
        <v/>
      </c>
      <c r="X45" s="640" t="str">
        <f t="shared" si="18"/>
        <v/>
      </c>
      <c r="Y45" s="640" t="str">
        <f t="shared" si="18"/>
        <v/>
      </c>
      <c r="Z45" s="640" t="str">
        <f t="shared" si="18"/>
        <v/>
      </c>
      <c r="AA45" s="641" t="str">
        <f t="shared" si="18"/>
        <v/>
      </c>
      <c r="AB45" s="639" t="str">
        <f t="shared" si="18"/>
        <v/>
      </c>
      <c r="AC45" s="640" t="str">
        <f t="shared" si="18"/>
        <v/>
      </c>
      <c r="AD45" s="640" t="str">
        <f t="shared" si="18"/>
        <v/>
      </c>
      <c r="AE45" s="640" t="str">
        <f t="shared" si="18"/>
        <v/>
      </c>
      <c r="AF45" s="640" t="str">
        <f t="shared" si="18"/>
        <v/>
      </c>
      <c r="AG45" s="640" t="str">
        <f t="shared" si="18"/>
        <v/>
      </c>
      <c r="AH45" s="641" t="str">
        <f t="shared" si="18"/>
        <v/>
      </c>
      <c r="AI45" s="642" t="str">
        <f t="shared" si="18"/>
        <v/>
      </c>
      <c r="AJ45" s="640" t="str">
        <f t="shared" si="18"/>
        <v/>
      </c>
      <c r="AK45" s="640" t="str">
        <f t="shared" si="18"/>
        <v/>
      </c>
      <c r="AL45" s="643">
        <f>SUM(G45:AH45)</f>
        <v>0</v>
      </c>
      <c r="AM45" s="644">
        <f>AL45/4</f>
        <v>0</v>
      </c>
      <c r="AN45" s="645" t="str">
        <f>IF(C44="","",C44)</f>
        <v/>
      </c>
      <c r="AO45" s="646" t="str">
        <f>IF(D44="","",D44)</f>
        <v/>
      </c>
      <c r="AP45" s="647" t="str">
        <f>IF(D44&lt;&gt;"",VLOOKUP(D44,$AU$2:$AV$6,2,FALSE),"")</f>
        <v/>
      </c>
      <c r="AQ45" s="644" t="e">
        <f>ROUNDDOWN(AL45/$AL$6,2)</f>
        <v>#DIV/0!</v>
      </c>
      <c r="AR45" s="644" t="e">
        <f>IF(AP45=1,"",AQ45)</f>
        <v>#DIV/0!</v>
      </c>
    </row>
    <row r="46" spans="1:44" ht="15.9" customHeight="1">
      <c r="A46" s="582"/>
      <c r="B46" s="1655" t="s">
        <v>1252</v>
      </c>
      <c r="C46" s="1640"/>
      <c r="D46" s="1642"/>
      <c r="E46" s="1644"/>
      <c r="F46" s="627" t="s">
        <v>1233</v>
      </c>
      <c r="G46" s="628"/>
      <c r="H46" s="629"/>
      <c r="I46" s="630"/>
      <c r="J46" s="630"/>
      <c r="K46" s="630"/>
      <c r="L46" s="630"/>
      <c r="M46" s="631"/>
      <c r="N46" s="628"/>
      <c r="O46" s="629"/>
      <c r="P46" s="630"/>
      <c r="Q46" s="630"/>
      <c r="R46" s="630"/>
      <c r="S46" s="630"/>
      <c r="T46" s="631"/>
      <c r="U46" s="628"/>
      <c r="V46" s="629"/>
      <c r="W46" s="630"/>
      <c r="X46" s="630"/>
      <c r="Y46" s="630"/>
      <c r="Z46" s="630"/>
      <c r="AA46" s="631"/>
      <c r="AB46" s="628"/>
      <c r="AC46" s="629"/>
      <c r="AD46" s="630"/>
      <c r="AE46" s="630"/>
      <c r="AF46" s="630"/>
      <c r="AG46" s="630"/>
      <c r="AH46" s="631"/>
      <c r="AI46" s="648"/>
      <c r="AJ46" s="629"/>
      <c r="AK46" s="629"/>
      <c r="AL46" s="633">
        <f>SUM(G47:AK47)</f>
        <v>0</v>
      </c>
      <c r="AM46" s="634"/>
      <c r="AN46" s="635"/>
      <c r="AO46" s="636"/>
      <c r="AP46" s="634"/>
      <c r="AQ46" s="637"/>
      <c r="AR46" s="637"/>
    </row>
    <row r="47" spans="1:44" ht="15.9" customHeight="1">
      <c r="A47" s="582"/>
      <c r="B47" s="1655"/>
      <c r="C47" s="1656"/>
      <c r="D47" s="1657"/>
      <c r="E47" s="1658"/>
      <c r="F47" s="638" t="s">
        <v>1234</v>
      </c>
      <c r="G47" s="639" t="str">
        <f t="shared" ref="G47:AK47" si="19">IF(G46&lt;&gt;"",VLOOKUP(G46,$AC$197:$AL$221,9,FALSE),"")</f>
        <v/>
      </c>
      <c r="H47" s="640" t="str">
        <f t="shared" si="19"/>
        <v/>
      </c>
      <c r="I47" s="640" t="str">
        <f t="shared" si="19"/>
        <v/>
      </c>
      <c r="J47" s="640" t="str">
        <f t="shared" si="19"/>
        <v/>
      </c>
      <c r="K47" s="640" t="str">
        <f t="shared" si="19"/>
        <v/>
      </c>
      <c r="L47" s="640" t="str">
        <f t="shared" si="19"/>
        <v/>
      </c>
      <c r="M47" s="641" t="str">
        <f t="shared" si="19"/>
        <v/>
      </c>
      <c r="N47" s="639" t="str">
        <f t="shared" si="19"/>
        <v/>
      </c>
      <c r="O47" s="640" t="str">
        <f t="shared" si="19"/>
        <v/>
      </c>
      <c r="P47" s="640" t="str">
        <f t="shared" si="19"/>
        <v/>
      </c>
      <c r="Q47" s="640" t="str">
        <f t="shared" si="19"/>
        <v/>
      </c>
      <c r="R47" s="640" t="str">
        <f t="shared" si="19"/>
        <v/>
      </c>
      <c r="S47" s="640" t="str">
        <f t="shared" si="19"/>
        <v/>
      </c>
      <c r="T47" s="641" t="str">
        <f t="shared" si="19"/>
        <v/>
      </c>
      <c r="U47" s="639" t="str">
        <f t="shared" si="19"/>
        <v/>
      </c>
      <c r="V47" s="640" t="str">
        <f t="shared" si="19"/>
        <v/>
      </c>
      <c r="W47" s="640" t="str">
        <f t="shared" si="19"/>
        <v/>
      </c>
      <c r="X47" s="640" t="str">
        <f t="shared" si="19"/>
        <v/>
      </c>
      <c r="Y47" s="640" t="str">
        <f t="shared" si="19"/>
        <v/>
      </c>
      <c r="Z47" s="640" t="str">
        <f t="shared" si="19"/>
        <v/>
      </c>
      <c r="AA47" s="641" t="str">
        <f t="shared" si="19"/>
        <v/>
      </c>
      <c r="AB47" s="639" t="str">
        <f t="shared" si="19"/>
        <v/>
      </c>
      <c r="AC47" s="640" t="str">
        <f t="shared" si="19"/>
        <v/>
      </c>
      <c r="AD47" s="640" t="str">
        <f t="shared" si="19"/>
        <v/>
      </c>
      <c r="AE47" s="640" t="str">
        <f t="shared" si="19"/>
        <v/>
      </c>
      <c r="AF47" s="640" t="str">
        <f t="shared" si="19"/>
        <v/>
      </c>
      <c r="AG47" s="640" t="str">
        <f t="shared" si="19"/>
        <v/>
      </c>
      <c r="AH47" s="641" t="str">
        <f t="shared" si="19"/>
        <v/>
      </c>
      <c r="AI47" s="642" t="str">
        <f t="shared" si="19"/>
        <v/>
      </c>
      <c r="AJ47" s="640" t="str">
        <f t="shared" si="19"/>
        <v/>
      </c>
      <c r="AK47" s="640" t="str">
        <f t="shared" si="19"/>
        <v/>
      </c>
      <c r="AL47" s="643">
        <f>SUM(G47:AH47)</f>
        <v>0</v>
      </c>
      <c r="AM47" s="644">
        <f>AL47/4</f>
        <v>0</v>
      </c>
      <c r="AN47" s="645" t="str">
        <f>IF(C46="","",C46)</f>
        <v/>
      </c>
      <c r="AO47" s="646" t="str">
        <f>IF(D46="","",D46)</f>
        <v/>
      </c>
      <c r="AP47" s="647" t="str">
        <f>IF(D46&lt;&gt;"",VLOOKUP(D46,$AU$2:$AV$6,2,FALSE),"")</f>
        <v/>
      </c>
      <c r="AQ47" s="644" t="e">
        <f>ROUNDDOWN(AL47/$AL$6,2)</f>
        <v>#DIV/0!</v>
      </c>
      <c r="AR47" s="644" t="e">
        <f>IF(AP47=1,"",AQ47)</f>
        <v>#DIV/0!</v>
      </c>
    </row>
    <row r="48" spans="1:44" ht="15.9" customHeight="1">
      <c r="A48" s="582"/>
      <c r="B48" s="1655" t="s">
        <v>1253</v>
      </c>
      <c r="C48" s="1640"/>
      <c r="D48" s="1642"/>
      <c r="E48" s="1644"/>
      <c r="F48" s="627" t="s">
        <v>1233</v>
      </c>
      <c r="G48" s="628"/>
      <c r="H48" s="629"/>
      <c r="I48" s="630"/>
      <c r="J48" s="630"/>
      <c r="K48" s="630"/>
      <c r="L48" s="630"/>
      <c r="M48" s="631"/>
      <c r="N48" s="628"/>
      <c r="O48" s="629"/>
      <c r="P48" s="630"/>
      <c r="Q48" s="630"/>
      <c r="R48" s="630"/>
      <c r="S48" s="630"/>
      <c r="T48" s="631"/>
      <c r="U48" s="628"/>
      <c r="V48" s="629"/>
      <c r="W48" s="630"/>
      <c r="X48" s="630"/>
      <c r="Y48" s="630"/>
      <c r="Z48" s="630"/>
      <c r="AA48" s="631"/>
      <c r="AB48" s="628"/>
      <c r="AC48" s="629"/>
      <c r="AD48" s="630"/>
      <c r="AE48" s="630"/>
      <c r="AF48" s="630"/>
      <c r="AG48" s="630"/>
      <c r="AH48" s="631"/>
      <c r="AI48" s="648"/>
      <c r="AJ48" s="629"/>
      <c r="AK48" s="629"/>
      <c r="AL48" s="633">
        <f>SUM(G49:AK49)</f>
        <v>0</v>
      </c>
      <c r="AM48" s="634"/>
      <c r="AN48" s="635"/>
      <c r="AO48" s="636"/>
      <c r="AP48" s="634"/>
      <c r="AQ48" s="637"/>
      <c r="AR48" s="637"/>
    </row>
    <row r="49" spans="1:44" ht="15.9" customHeight="1">
      <c r="A49" s="582"/>
      <c r="B49" s="1655"/>
      <c r="C49" s="1656"/>
      <c r="D49" s="1657"/>
      <c r="E49" s="1658"/>
      <c r="F49" s="638" t="s">
        <v>1234</v>
      </c>
      <c r="G49" s="639" t="str">
        <f t="shared" ref="G49:AK49" si="20">IF(G48&lt;&gt;"",VLOOKUP(G48,$AC$197:$AL$221,9,FALSE),"")</f>
        <v/>
      </c>
      <c r="H49" s="640" t="str">
        <f t="shared" si="20"/>
        <v/>
      </c>
      <c r="I49" s="640" t="str">
        <f t="shared" si="20"/>
        <v/>
      </c>
      <c r="J49" s="640" t="str">
        <f t="shared" si="20"/>
        <v/>
      </c>
      <c r="K49" s="640" t="str">
        <f t="shared" si="20"/>
        <v/>
      </c>
      <c r="L49" s="640" t="str">
        <f t="shared" si="20"/>
        <v/>
      </c>
      <c r="M49" s="641" t="str">
        <f t="shared" si="20"/>
        <v/>
      </c>
      <c r="N49" s="639" t="str">
        <f t="shared" si="20"/>
        <v/>
      </c>
      <c r="O49" s="640" t="str">
        <f t="shared" si="20"/>
        <v/>
      </c>
      <c r="P49" s="640" t="str">
        <f t="shared" si="20"/>
        <v/>
      </c>
      <c r="Q49" s="640" t="str">
        <f t="shared" si="20"/>
        <v/>
      </c>
      <c r="R49" s="640" t="str">
        <f t="shared" si="20"/>
        <v/>
      </c>
      <c r="S49" s="640" t="str">
        <f t="shared" si="20"/>
        <v/>
      </c>
      <c r="T49" s="641" t="str">
        <f t="shared" si="20"/>
        <v/>
      </c>
      <c r="U49" s="639" t="str">
        <f t="shared" si="20"/>
        <v/>
      </c>
      <c r="V49" s="640" t="str">
        <f t="shared" si="20"/>
        <v/>
      </c>
      <c r="W49" s="640" t="str">
        <f t="shared" si="20"/>
        <v/>
      </c>
      <c r="X49" s="640" t="str">
        <f t="shared" si="20"/>
        <v/>
      </c>
      <c r="Y49" s="640" t="str">
        <f t="shared" si="20"/>
        <v/>
      </c>
      <c r="Z49" s="640" t="str">
        <f t="shared" si="20"/>
        <v/>
      </c>
      <c r="AA49" s="641" t="str">
        <f t="shared" si="20"/>
        <v/>
      </c>
      <c r="AB49" s="639" t="str">
        <f t="shared" si="20"/>
        <v/>
      </c>
      <c r="AC49" s="640" t="str">
        <f t="shared" si="20"/>
        <v/>
      </c>
      <c r="AD49" s="640" t="str">
        <f t="shared" si="20"/>
        <v/>
      </c>
      <c r="AE49" s="640" t="str">
        <f t="shared" si="20"/>
        <v/>
      </c>
      <c r="AF49" s="640" t="str">
        <f t="shared" si="20"/>
        <v/>
      </c>
      <c r="AG49" s="640" t="str">
        <f t="shared" si="20"/>
        <v/>
      </c>
      <c r="AH49" s="641" t="str">
        <f t="shared" si="20"/>
        <v/>
      </c>
      <c r="AI49" s="642" t="str">
        <f t="shared" si="20"/>
        <v/>
      </c>
      <c r="AJ49" s="640" t="str">
        <f t="shared" si="20"/>
        <v/>
      </c>
      <c r="AK49" s="640" t="str">
        <f t="shared" si="20"/>
        <v/>
      </c>
      <c r="AL49" s="643">
        <f>SUM(G49:AH49)</f>
        <v>0</v>
      </c>
      <c r="AM49" s="644">
        <f>AL49/4</f>
        <v>0</v>
      </c>
      <c r="AN49" s="645" t="str">
        <f>IF(C48="","",C48)</f>
        <v/>
      </c>
      <c r="AO49" s="646" t="str">
        <f>IF(D48="","",D48)</f>
        <v/>
      </c>
      <c r="AP49" s="647" t="str">
        <f>IF(D48&lt;&gt;"",VLOOKUP(D48,$AU$2:$AV$6,2,FALSE),"")</f>
        <v/>
      </c>
      <c r="AQ49" s="644" t="e">
        <f>ROUNDDOWN(AL49/$AL$6,2)</f>
        <v>#DIV/0!</v>
      </c>
      <c r="AR49" s="644" t="e">
        <f>IF(AP49=1,"",AQ49)</f>
        <v>#DIV/0!</v>
      </c>
    </row>
    <row r="50" spans="1:44" ht="15.9" customHeight="1">
      <c r="A50" s="582"/>
      <c r="B50" s="1655" t="s">
        <v>1254</v>
      </c>
      <c r="C50" s="1640"/>
      <c r="D50" s="1642"/>
      <c r="E50" s="1644"/>
      <c r="F50" s="627" t="s">
        <v>1233</v>
      </c>
      <c r="G50" s="628"/>
      <c r="H50" s="629"/>
      <c r="I50" s="630"/>
      <c r="J50" s="630"/>
      <c r="K50" s="630"/>
      <c r="L50" s="630"/>
      <c r="M50" s="631"/>
      <c r="N50" s="628"/>
      <c r="O50" s="629"/>
      <c r="P50" s="630"/>
      <c r="Q50" s="630"/>
      <c r="R50" s="630"/>
      <c r="S50" s="630"/>
      <c r="T50" s="631"/>
      <c r="U50" s="628"/>
      <c r="V50" s="629"/>
      <c r="W50" s="630"/>
      <c r="X50" s="630"/>
      <c r="Y50" s="630"/>
      <c r="Z50" s="630"/>
      <c r="AA50" s="631"/>
      <c r="AB50" s="628"/>
      <c r="AC50" s="629"/>
      <c r="AD50" s="630"/>
      <c r="AE50" s="630"/>
      <c r="AF50" s="630"/>
      <c r="AG50" s="630"/>
      <c r="AH50" s="631"/>
      <c r="AI50" s="632"/>
      <c r="AJ50" s="630"/>
      <c r="AK50" s="630"/>
      <c r="AL50" s="633">
        <f>SUM(G51:AK51)</f>
        <v>0</v>
      </c>
      <c r="AM50" s="634"/>
      <c r="AN50" s="635"/>
      <c r="AO50" s="636"/>
      <c r="AP50" s="634"/>
      <c r="AQ50" s="637"/>
      <c r="AR50" s="637"/>
    </row>
    <row r="51" spans="1:44" ht="15.9" customHeight="1">
      <c r="A51" s="582"/>
      <c r="B51" s="1655"/>
      <c r="C51" s="1656"/>
      <c r="D51" s="1657"/>
      <c r="E51" s="1658"/>
      <c r="F51" s="638" t="s">
        <v>1234</v>
      </c>
      <c r="G51" s="639" t="str">
        <f t="shared" ref="G51:AK51" si="21">IF(G50&lt;&gt;"",VLOOKUP(G50,$AC$197:$AL$221,9,FALSE),"")</f>
        <v/>
      </c>
      <c r="H51" s="640" t="str">
        <f t="shared" si="21"/>
        <v/>
      </c>
      <c r="I51" s="640" t="str">
        <f t="shared" si="21"/>
        <v/>
      </c>
      <c r="J51" s="640" t="str">
        <f t="shared" si="21"/>
        <v/>
      </c>
      <c r="K51" s="640" t="str">
        <f t="shared" si="21"/>
        <v/>
      </c>
      <c r="L51" s="640" t="str">
        <f t="shared" si="21"/>
        <v/>
      </c>
      <c r="M51" s="641" t="str">
        <f t="shared" si="21"/>
        <v/>
      </c>
      <c r="N51" s="639" t="str">
        <f t="shared" si="21"/>
        <v/>
      </c>
      <c r="O51" s="640" t="str">
        <f t="shared" si="21"/>
        <v/>
      </c>
      <c r="P51" s="640" t="str">
        <f t="shared" si="21"/>
        <v/>
      </c>
      <c r="Q51" s="640" t="str">
        <f t="shared" si="21"/>
        <v/>
      </c>
      <c r="R51" s="640" t="str">
        <f t="shared" si="21"/>
        <v/>
      </c>
      <c r="S51" s="640" t="str">
        <f t="shared" si="21"/>
        <v/>
      </c>
      <c r="T51" s="641" t="str">
        <f t="shared" si="21"/>
        <v/>
      </c>
      <c r="U51" s="639" t="str">
        <f t="shared" si="21"/>
        <v/>
      </c>
      <c r="V51" s="640" t="str">
        <f t="shared" si="21"/>
        <v/>
      </c>
      <c r="W51" s="640" t="str">
        <f t="shared" si="21"/>
        <v/>
      </c>
      <c r="X51" s="640" t="str">
        <f t="shared" si="21"/>
        <v/>
      </c>
      <c r="Y51" s="640" t="str">
        <f t="shared" si="21"/>
        <v/>
      </c>
      <c r="Z51" s="640" t="str">
        <f t="shared" si="21"/>
        <v/>
      </c>
      <c r="AA51" s="641" t="str">
        <f t="shared" si="21"/>
        <v/>
      </c>
      <c r="AB51" s="639" t="str">
        <f t="shared" si="21"/>
        <v/>
      </c>
      <c r="AC51" s="640" t="str">
        <f t="shared" si="21"/>
        <v/>
      </c>
      <c r="AD51" s="640" t="str">
        <f t="shared" si="21"/>
        <v/>
      </c>
      <c r="AE51" s="640" t="str">
        <f t="shared" si="21"/>
        <v/>
      </c>
      <c r="AF51" s="640" t="str">
        <f t="shared" si="21"/>
        <v/>
      </c>
      <c r="AG51" s="640" t="str">
        <f t="shared" si="21"/>
        <v/>
      </c>
      <c r="AH51" s="641" t="str">
        <f t="shared" si="21"/>
        <v/>
      </c>
      <c r="AI51" s="642" t="str">
        <f t="shared" si="21"/>
        <v/>
      </c>
      <c r="AJ51" s="640" t="str">
        <f t="shared" si="21"/>
        <v/>
      </c>
      <c r="AK51" s="640" t="str">
        <f t="shared" si="21"/>
        <v/>
      </c>
      <c r="AL51" s="643">
        <f>SUM(G51:AH51)</f>
        <v>0</v>
      </c>
      <c r="AM51" s="644">
        <f>AL51/4</f>
        <v>0</v>
      </c>
      <c r="AN51" s="645" t="str">
        <f>IF(C50="","",C50)</f>
        <v/>
      </c>
      <c r="AO51" s="646" t="str">
        <f>IF(D50="","",D50)</f>
        <v/>
      </c>
      <c r="AP51" s="647" t="str">
        <f>IF(D50&lt;&gt;"",VLOOKUP(D50,$AU$2:$AV$6,2,FALSE),"")</f>
        <v/>
      </c>
      <c r="AQ51" s="644" t="e">
        <f>ROUNDDOWN(AL51/$AL$6,2)</f>
        <v>#DIV/0!</v>
      </c>
      <c r="AR51" s="644" t="e">
        <f>IF(AP51=1,"",AQ51)</f>
        <v>#DIV/0!</v>
      </c>
    </row>
    <row r="52" spans="1:44" ht="15.9" customHeight="1">
      <c r="A52" s="582"/>
      <c r="B52" s="1655" t="s">
        <v>1255</v>
      </c>
      <c r="C52" s="1640"/>
      <c r="D52" s="1642"/>
      <c r="E52" s="1644"/>
      <c r="F52" s="627" t="s">
        <v>1233</v>
      </c>
      <c r="G52" s="628"/>
      <c r="H52" s="629"/>
      <c r="I52" s="630"/>
      <c r="J52" s="630"/>
      <c r="K52" s="630"/>
      <c r="L52" s="630"/>
      <c r="M52" s="631"/>
      <c r="N52" s="628"/>
      <c r="O52" s="629"/>
      <c r="P52" s="630"/>
      <c r="Q52" s="630"/>
      <c r="R52" s="630"/>
      <c r="S52" s="630"/>
      <c r="T52" s="631"/>
      <c r="U52" s="628"/>
      <c r="V52" s="629"/>
      <c r="W52" s="630"/>
      <c r="X52" s="630"/>
      <c r="Y52" s="630"/>
      <c r="Z52" s="630"/>
      <c r="AA52" s="631"/>
      <c r="AB52" s="628"/>
      <c r="AC52" s="629"/>
      <c r="AD52" s="630"/>
      <c r="AE52" s="630"/>
      <c r="AF52" s="630"/>
      <c r="AG52" s="630"/>
      <c r="AH52" s="631"/>
      <c r="AI52" s="632"/>
      <c r="AJ52" s="630"/>
      <c r="AK52" s="630"/>
      <c r="AL52" s="633">
        <f>SUM(G53:AK53)</f>
        <v>0</v>
      </c>
      <c r="AM52" s="634"/>
      <c r="AN52" s="635"/>
      <c r="AO52" s="636"/>
      <c r="AP52" s="634"/>
      <c r="AQ52" s="637"/>
      <c r="AR52" s="637"/>
    </row>
    <row r="53" spans="1:44" ht="15.9" customHeight="1">
      <c r="A53" s="582"/>
      <c r="B53" s="1655"/>
      <c r="C53" s="1656"/>
      <c r="D53" s="1657"/>
      <c r="E53" s="1658"/>
      <c r="F53" s="638" t="s">
        <v>1234</v>
      </c>
      <c r="G53" s="639" t="str">
        <f t="shared" ref="G53:AK53" si="22">IF(G52&lt;&gt;"",VLOOKUP(G52,$AC$197:$AL$221,9,FALSE),"")</f>
        <v/>
      </c>
      <c r="H53" s="640" t="str">
        <f t="shared" si="22"/>
        <v/>
      </c>
      <c r="I53" s="640" t="str">
        <f t="shared" si="22"/>
        <v/>
      </c>
      <c r="J53" s="640" t="str">
        <f t="shared" si="22"/>
        <v/>
      </c>
      <c r="K53" s="640" t="str">
        <f t="shared" si="22"/>
        <v/>
      </c>
      <c r="L53" s="640" t="str">
        <f t="shared" si="22"/>
        <v/>
      </c>
      <c r="M53" s="641" t="str">
        <f t="shared" si="22"/>
        <v/>
      </c>
      <c r="N53" s="639" t="str">
        <f t="shared" si="22"/>
        <v/>
      </c>
      <c r="O53" s="640" t="str">
        <f t="shared" si="22"/>
        <v/>
      </c>
      <c r="P53" s="640" t="str">
        <f t="shared" si="22"/>
        <v/>
      </c>
      <c r="Q53" s="640" t="str">
        <f t="shared" si="22"/>
        <v/>
      </c>
      <c r="R53" s="640" t="str">
        <f t="shared" si="22"/>
        <v/>
      </c>
      <c r="S53" s="640" t="str">
        <f t="shared" si="22"/>
        <v/>
      </c>
      <c r="T53" s="641" t="str">
        <f t="shared" si="22"/>
        <v/>
      </c>
      <c r="U53" s="639" t="str">
        <f t="shared" si="22"/>
        <v/>
      </c>
      <c r="V53" s="640" t="str">
        <f t="shared" si="22"/>
        <v/>
      </c>
      <c r="W53" s="640" t="str">
        <f t="shared" si="22"/>
        <v/>
      </c>
      <c r="X53" s="640" t="str">
        <f t="shared" si="22"/>
        <v/>
      </c>
      <c r="Y53" s="640" t="str">
        <f t="shared" si="22"/>
        <v/>
      </c>
      <c r="Z53" s="640" t="str">
        <f t="shared" si="22"/>
        <v/>
      </c>
      <c r="AA53" s="641" t="str">
        <f t="shared" si="22"/>
        <v/>
      </c>
      <c r="AB53" s="639" t="str">
        <f t="shared" si="22"/>
        <v/>
      </c>
      <c r="AC53" s="640" t="str">
        <f t="shared" si="22"/>
        <v/>
      </c>
      <c r="AD53" s="640" t="str">
        <f t="shared" si="22"/>
        <v/>
      </c>
      <c r="AE53" s="640" t="str">
        <f t="shared" si="22"/>
        <v/>
      </c>
      <c r="AF53" s="640" t="str">
        <f t="shared" si="22"/>
        <v/>
      </c>
      <c r="AG53" s="640" t="str">
        <f t="shared" si="22"/>
        <v/>
      </c>
      <c r="AH53" s="641" t="str">
        <f t="shared" si="22"/>
        <v/>
      </c>
      <c r="AI53" s="642" t="str">
        <f t="shared" si="22"/>
        <v/>
      </c>
      <c r="AJ53" s="640" t="str">
        <f t="shared" si="22"/>
        <v/>
      </c>
      <c r="AK53" s="640" t="str">
        <f t="shared" si="22"/>
        <v/>
      </c>
      <c r="AL53" s="643">
        <f>SUM(G53:AH53)</f>
        <v>0</v>
      </c>
      <c r="AM53" s="644">
        <f>AL53/4</f>
        <v>0</v>
      </c>
      <c r="AN53" s="645" t="str">
        <f>IF(C52="","",C52)</f>
        <v/>
      </c>
      <c r="AO53" s="646" t="str">
        <f>IF(D52="","",D52)</f>
        <v/>
      </c>
      <c r="AP53" s="647" t="str">
        <f>IF(D52&lt;&gt;"",VLOOKUP(D52,$AU$2:$AV$6,2,FALSE),"")</f>
        <v/>
      </c>
      <c r="AQ53" s="644" t="e">
        <f>ROUNDDOWN(AL53/$AL$6,2)</f>
        <v>#DIV/0!</v>
      </c>
      <c r="AR53" s="644" t="e">
        <f>IF(AP53=1,"",AQ53)</f>
        <v>#DIV/0!</v>
      </c>
    </row>
    <row r="54" spans="1:44" ht="15.9" customHeight="1">
      <c r="A54" s="582"/>
      <c r="B54" s="1655" t="s">
        <v>1256</v>
      </c>
      <c r="C54" s="1640"/>
      <c r="D54" s="1642"/>
      <c r="E54" s="1644"/>
      <c r="F54" s="627" t="s">
        <v>1233</v>
      </c>
      <c r="G54" s="628"/>
      <c r="H54" s="629"/>
      <c r="I54" s="630"/>
      <c r="J54" s="630"/>
      <c r="K54" s="630"/>
      <c r="L54" s="630"/>
      <c r="M54" s="631"/>
      <c r="N54" s="628"/>
      <c r="O54" s="629"/>
      <c r="P54" s="630"/>
      <c r="Q54" s="630"/>
      <c r="R54" s="630"/>
      <c r="S54" s="630"/>
      <c r="T54" s="631"/>
      <c r="U54" s="628"/>
      <c r="V54" s="629"/>
      <c r="W54" s="630"/>
      <c r="X54" s="630"/>
      <c r="Y54" s="630"/>
      <c r="Z54" s="630"/>
      <c r="AA54" s="631"/>
      <c r="AB54" s="628"/>
      <c r="AC54" s="629"/>
      <c r="AD54" s="630"/>
      <c r="AE54" s="630"/>
      <c r="AF54" s="630"/>
      <c r="AG54" s="630"/>
      <c r="AH54" s="631"/>
      <c r="AI54" s="648"/>
      <c r="AJ54" s="629"/>
      <c r="AK54" s="629"/>
      <c r="AL54" s="633">
        <f>SUM(G55:AK55)</f>
        <v>0</v>
      </c>
      <c r="AM54" s="634"/>
      <c r="AN54" s="635"/>
      <c r="AO54" s="636"/>
      <c r="AP54" s="634"/>
      <c r="AQ54" s="637"/>
      <c r="AR54" s="637"/>
    </row>
    <row r="55" spans="1:44" ht="15.9" customHeight="1">
      <c r="A55" s="582"/>
      <c r="B55" s="1655"/>
      <c r="C55" s="1656"/>
      <c r="D55" s="1657"/>
      <c r="E55" s="1658"/>
      <c r="F55" s="638" t="s">
        <v>1234</v>
      </c>
      <c r="G55" s="639" t="str">
        <f t="shared" ref="G55:AK55" si="23">IF(G54&lt;&gt;"",VLOOKUP(G54,$AC$197:$AL$221,9,FALSE),"")</f>
        <v/>
      </c>
      <c r="H55" s="640" t="str">
        <f t="shared" si="23"/>
        <v/>
      </c>
      <c r="I55" s="640" t="str">
        <f t="shared" si="23"/>
        <v/>
      </c>
      <c r="J55" s="640" t="str">
        <f t="shared" si="23"/>
        <v/>
      </c>
      <c r="K55" s="640" t="str">
        <f t="shared" si="23"/>
        <v/>
      </c>
      <c r="L55" s="640" t="str">
        <f t="shared" si="23"/>
        <v/>
      </c>
      <c r="M55" s="641" t="str">
        <f t="shared" si="23"/>
        <v/>
      </c>
      <c r="N55" s="639" t="str">
        <f t="shared" si="23"/>
        <v/>
      </c>
      <c r="O55" s="640" t="str">
        <f t="shared" si="23"/>
        <v/>
      </c>
      <c r="P55" s="640" t="str">
        <f t="shared" si="23"/>
        <v/>
      </c>
      <c r="Q55" s="640" t="str">
        <f t="shared" si="23"/>
        <v/>
      </c>
      <c r="R55" s="640" t="str">
        <f t="shared" si="23"/>
        <v/>
      </c>
      <c r="S55" s="640" t="str">
        <f t="shared" si="23"/>
        <v/>
      </c>
      <c r="T55" s="641" t="str">
        <f t="shared" si="23"/>
        <v/>
      </c>
      <c r="U55" s="639" t="str">
        <f t="shared" si="23"/>
        <v/>
      </c>
      <c r="V55" s="640" t="str">
        <f t="shared" si="23"/>
        <v/>
      </c>
      <c r="W55" s="640" t="str">
        <f t="shared" si="23"/>
        <v/>
      </c>
      <c r="X55" s="640" t="str">
        <f t="shared" si="23"/>
        <v/>
      </c>
      <c r="Y55" s="640" t="str">
        <f t="shared" si="23"/>
        <v/>
      </c>
      <c r="Z55" s="640" t="str">
        <f t="shared" si="23"/>
        <v/>
      </c>
      <c r="AA55" s="641" t="str">
        <f t="shared" si="23"/>
        <v/>
      </c>
      <c r="AB55" s="639" t="str">
        <f t="shared" si="23"/>
        <v/>
      </c>
      <c r="AC55" s="640" t="str">
        <f t="shared" si="23"/>
        <v/>
      </c>
      <c r="AD55" s="640" t="str">
        <f t="shared" si="23"/>
        <v/>
      </c>
      <c r="AE55" s="640" t="str">
        <f t="shared" si="23"/>
        <v/>
      </c>
      <c r="AF55" s="640" t="str">
        <f t="shared" si="23"/>
        <v/>
      </c>
      <c r="AG55" s="640" t="str">
        <f t="shared" si="23"/>
        <v/>
      </c>
      <c r="AH55" s="641" t="str">
        <f t="shared" si="23"/>
        <v/>
      </c>
      <c r="AI55" s="642" t="str">
        <f t="shared" si="23"/>
        <v/>
      </c>
      <c r="AJ55" s="640" t="str">
        <f t="shared" si="23"/>
        <v/>
      </c>
      <c r="AK55" s="640" t="str">
        <f t="shared" si="23"/>
        <v/>
      </c>
      <c r="AL55" s="643">
        <f>SUM(G55:AH55)</f>
        <v>0</v>
      </c>
      <c r="AM55" s="644">
        <f>AL55/4</f>
        <v>0</v>
      </c>
      <c r="AN55" s="645" t="str">
        <f>IF(C54="","",C54)</f>
        <v/>
      </c>
      <c r="AO55" s="646" t="str">
        <f>IF(D54="","",D54)</f>
        <v/>
      </c>
      <c r="AP55" s="647" t="str">
        <f>IF(D54&lt;&gt;"",VLOOKUP(D54,$AU$2:$AV$6,2,FALSE),"")</f>
        <v/>
      </c>
      <c r="AQ55" s="644" t="e">
        <f>ROUNDDOWN(AL55/$AL$6,2)</f>
        <v>#DIV/0!</v>
      </c>
      <c r="AR55" s="644" t="e">
        <f>IF(AP55=1,"",AQ55)</f>
        <v>#DIV/0!</v>
      </c>
    </row>
    <row r="56" spans="1:44" ht="15.9" customHeight="1">
      <c r="A56" s="582"/>
      <c r="B56" s="1655" t="s">
        <v>1257</v>
      </c>
      <c r="C56" s="1640"/>
      <c r="D56" s="1642"/>
      <c r="E56" s="1644"/>
      <c r="F56" s="627" t="s">
        <v>1233</v>
      </c>
      <c r="G56" s="628"/>
      <c r="H56" s="629"/>
      <c r="I56" s="630"/>
      <c r="J56" s="630"/>
      <c r="K56" s="630"/>
      <c r="L56" s="630"/>
      <c r="M56" s="631"/>
      <c r="N56" s="628"/>
      <c r="O56" s="629"/>
      <c r="P56" s="630"/>
      <c r="Q56" s="630"/>
      <c r="R56" s="630"/>
      <c r="S56" s="630"/>
      <c r="T56" s="631"/>
      <c r="U56" s="628"/>
      <c r="V56" s="629"/>
      <c r="W56" s="630"/>
      <c r="X56" s="630"/>
      <c r="Y56" s="630"/>
      <c r="Z56" s="630"/>
      <c r="AA56" s="631"/>
      <c r="AB56" s="628"/>
      <c r="AC56" s="629"/>
      <c r="AD56" s="630"/>
      <c r="AE56" s="630"/>
      <c r="AF56" s="630"/>
      <c r="AG56" s="630"/>
      <c r="AH56" s="631"/>
      <c r="AI56" s="648"/>
      <c r="AJ56" s="629"/>
      <c r="AK56" s="629"/>
      <c r="AL56" s="633">
        <f>SUM(G57:AK57)</f>
        <v>0</v>
      </c>
      <c r="AM56" s="634"/>
      <c r="AN56" s="635"/>
      <c r="AO56" s="636"/>
      <c r="AP56" s="634"/>
      <c r="AQ56" s="637"/>
      <c r="AR56" s="637"/>
    </row>
    <row r="57" spans="1:44" ht="15.9" customHeight="1">
      <c r="A57" s="582"/>
      <c r="B57" s="1655"/>
      <c r="C57" s="1656"/>
      <c r="D57" s="1657"/>
      <c r="E57" s="1658"/>
      <c r="F57" s="638" t="s">
        <v>1234</v>
      </c>
      <c r="G57" s="639" t="str">
        <f t="shared" ref="G57:AK57" si="24">IF(G56&lt;&gt;"",VLOOKUP(G56,$AC$197:$AL$221,9,FALSE),"")</f>
        <v/>
      </c>
      <c r="H57" s="640" t="str">
        <f t="shared" si="24"/>
        <v/>
      </c>
      <c r="I57" s="640" t="str">
        <f t="shared" si="24"/>
        <v/>
      </c>
      <c r="J57" s="640" t="str">
        <f t="shared" si="24"/>
        <v/>
      </c>
      <c r="K57" s="640" t="str">
        <f t="shared" si="24"/>
        <v/>
      </c>
      <c r="L57" s="640" t="str">
        <f t="shared" si="24"/>
        <v/>
      </c>
      <c r="M57" s="641" t="str">
        <f t="shared" si="24"/>
        <v/>
      </c>
      <c r="N57" s="639" t="str">
        <f t="shared" si="24"/>
        <v/>
      </c>
      <c r="O57" s="640" t="str">
        <f t="shared" si="24"/>
        <v/>
      </c>
      <c r="P57" s="640" t="str">
        <f t="shared" si="24"/>
        <v/>
      </c>
      <c r="Q57" s="640" t="str">
        <f t="shared" si="24"/>
        <v/>
      </c>
      <c r="R57" s="640" t="str">
        <f t="shared" si="24"/>
        <v/>
      </c>
      <c r="S57" s="640" t="str">
        <f t="shared" si="24"/>
        <v/>
      </c>
      <c r="T57" s="641" t="str">
        <f t="shared" si="24"/>
        <v/>
      </c>
      <c r="U57" s="639" t="str">
        <f t="shared" si="24"/>
        <v/>
      </c>
      <c r="V57" s="640" t="str">
        <f t="shared" si="24"/>
        <v/>
      </c>
      <c r="W57" s="640" t="str">
        <f t="shared" si="24"/>
        <v/>
      </c>
      <c r="X57" s="640" t="str">
        <f t="shared" si="24"/>
        <v/>
      </c>
      <c r="Y57" s="640" t="str">
        <f t="shared" si="24"/>
        <v/>
      </c>
      <c r="Z57" s="640" t="str">
        <f t="shared" si="24"/>
        <v/>
      </c>
      <c r="AA57" s="641" t="str">
        <f t="shared" si="24"/>
        <v/>
      </c>
      <c r="AB57" s="639" t="str">
        <f t="shared" si="24"/>
        <v/>
      </c>
      <c r="AC57" s="640" t="str">
        <f t="shared" si="24"/>
        <v/>
      </c>
      <c r="AD57" s="640" t="str">
        <f t="shared" si="24"/>
        <v/>
      </c>
      <c r="AE57" s="640" t="str">
        <f t="shared" si="24"/>
        <v/>
      </c>
      <c r="AF57" s="640" t="str">
        <f t="shared" si="24"/>
        <v/>
      </c>
      <c r="AG57" s="640" t="str">
        <f t="shared" si="24"/>
        <v/>
      </c>
      <c r="AH57" s="641" t="str">
        <f t="shared" si="24"/>
        <v/>
      </c>
      <c r="AI57" s="642" t="str">
        <f t="shared" si="24"/>
        <v/>
      </c>
      <c r="AJ57" s="640" t="str">
        <f t="shared" si="24"/>
        <v/>
      </c>
      <c r="AK57" s="640" t="str">
        <f t="shared" si="24"/>
        <v/>
      </c>
      <c r="AL57" s="643">
        <f>SUM(G57:AH57)</f>
        <v>0</v>
      </c>
      <c r="AM57" s="644">
        <f>AL57/4</f>
        <v>0</v>
      </c>
      <c r="AN57" s="645" t="str">
        <f>IF(C56="","",C56)</f>
        <v/>
      </c>
      <c r="AO57" s="646" t="str">
        <f>IF(D56="","",D56)</f>
        <v/>
      </c>
      <c r="AP57" s="647" t="str">
        <f>IF(D56&lt;&gt;"",VLOOKUP(D56,$AU$2:$AV$6,2,FALSE),"")</f>
        <v/>
      </c>
      <c r="AQ57" s="644" t="e">
        <f>ROUNDDOWN(AL57/$AL$6,2)</f>
        <v>#DIV/0!</v>
      </c>
      <c r="AR57" s="644" t="e">
        <f>IF(AP57=1,"",AQ57)</f>
        <v>#DIV/0!</v>
      </c>
    </row>
    <row r="58" spans="1:44" ht="15.9" customHeight="1">
      <c r="A58" s="582"/>
      <c r="B58" s="1655" t="s">
        <v>1258</v>
      </c>
      <c r="C58" s="1640"/>
      <c r="D58" s="1642"/>
      <c r="E58" s="1644"/>
      <c r="F58" s="627" t="s">
        <v>1233</v>
      </c>
      <c r="G58" s="628"/>
      <c r="H58" s="629"/>
      <c r="I58" s="630"/>
      <c r="J58" s="630"/>
      <c r="K58" s="630"/>
      <c r="L58" s="630"/>
      <c r="M58" s="631"/>
      <c r="N58" s="628"/>
      <c r="O58" s="629"/>
      <c r="P58" s="630"/>
      <c r="Q58" s="630"/>
      <c r="R58" s="630"/>
      <c r="S58" s="630"/>
      <c r="T58" s="631"/>
      <c r="U58" s="628"/>
      <c r="V58" s="629"/>
      <c r="W58" s="630"/>
      <c r="X58" s="630"/>
      <c r="Y58" s="630"/>
      <c r="Z58" s="630"/>
      <c r="AA58" s="631"/>
      <c r="AB58" s="628"/>
      <c r="AC58" s="629"/>
      <c r="AD58" s="630"/>
      <c r="AE58" s="630"/>
      <c r="AF58" s="630"/>
      <c r="AG58" s="630"/>
      <c r="AH58" s="631"/>
      <c r="AI58" s="632"/>
      <c r="AJ58" s="630"/>
      <c r="AK58" s="630"/>
      <c r="AL58" s="633">
        <f>SUM(G59:AK59)</f>
        <v>0</v>
      </c>
      <c r="AM58" s="634"/>
      <c r="AN58" s="635"/>
      <c r="AO58" s="636"/>
      <c r="AP58" s="634"/>
      <c r="AQ58" s="637"/>
      <c r="AR58" s="637"/>
    </row>
    <row r="59" spans="1:44" ht="15.9" customHeight="1">
      <c r="A59" s="582"/>
      <c r="B59" s="1655"/>
      <c r="C59" s="1656"/>
      <c r="D59" s="1657"/>
      <c r="E59" s="1658"/>
      <c r="F59" s="638" t="s">
        <v>1234</v>
      </c>
      <c r="G59" s="639" t="str">
        <f t="shared" ref="G59:AK59" si="25">IF(G58&lt;&gt;"",VLOOKUP(G58,$AC$197:$AL$221,9,FALSE),"")</f>
        <v/>
      </c>
      <c r="H59" s="640" t="str">
        <f t="shared" si="25"/>
        <v/>
      </c>
      <c r="I59" s="640" t="str">
        <f t="shared" si="25"/>
        <v/>
      </c>
      <c r="J59" s="640" t="str">
        <f t="shared" si="25"/>
        <v/>
      </c>
      <c r="K59" s="640" t="str">
        <f t="shared" si="25"/>
        <v/>
      </c>
      <c r="L59" s="640" t="str">
        <f t="shared" si="25"/>
        <v/>
      </c>
      <c r="M59" s="641" t="str">
        <f t="shared" si="25"/>
        <v/>
      </c>
      <c r="N59" s="639" t="str">
        <f t="shared" si="25"/>
        <v/>
      </c>
      <c r="O59" s="640" t="str">
        <f t="shared" si="25"/>
        <v/>
      </c>
      <c r="P59" s="640" t="str">
        <f t="shared" si="25"/>
        <v/>
      </c>
      <c r="Q59" s="640" t="str">
        <f t="shared" si="25"/>
        <v/>
      </c>
      <c r="R59" s="640" t="str">
        <f t="shared" si="25"/>
        <v/>
      </c>
      <c r="S59" s="640" t="str">
        <f t="shared" si="25"/>
        <v/>
      </c>
      <c r="T59" s="641" t="str">
        <f t="shared" si="25"/>
        <v/>
      </c>
      <c r="U59" s="639" t="str">
        <f t="shared" si="25"/>
        <v/>
      </c>
      <c r="V59" s="640" t="str">
        <f t="shared" si="25"/>
        <v/>
      </c>
      <c r="W59" s="640" t="str">
        <f t="shared" si="25"/>
        <v/>
      </c>
      <c r="X59" s="640" t="str">
        <f t="shared" si="25"/>
        <v/>
      </c>
      <c r="Y59" s="640" t="str">
        <f t="shared" si="25"/>
        <v/>
      </c>
      <c r="Z59" s="640" t="str">
        <f t="shared" si="25"/>
        <v/>
      </c>
      <c r="AA59" s="641" t="str">
        <f t="shared" si="25"/>
        <v/>
      </c>
      <c r="AB59" s="639" t="str">
        <f t="shared" si="25"/>
        <v/>
      </c>
      <c r="AC59" s="640" t="str">
        <f t="shared" si="25"/>
        <v/>
      </c>
      <c r="AD59" s="640" t="str">
        <f t="shared" si="25"/>
        <v/>
      </c>
      <c r="AE59" s="640" t="str">
        <f t="shared" si="25"/>
        <v/>
      </c>
      <c r="AF59" s="640" t="str">
        <f t="shared" si="25"/>
        <v/>
      </c>
      <c r="AG59" s="640" t="str">
        <f t="shared" si="25"/>
        <v/>
      </c>
      <c r="AH59" s="641" t="str">
        <f t="shared" si="25"/>
        <v/>
      </c>
      <c r="AI59" s="642" t="str">
        <f t="shared" si="25"/>
        <v/>
      </c>
      <c r="AJ59" s="640" t="str">
        <f t="shared" si="25"/>
        <v/>
      </c>
      <c r="AK59" s="640" t="str">
        <f t="shared" si="25"/>
        <v/>
      </c>
      <c r="AL59" s="643">
        <f>SUM(G59:AH59)</f>
        <v>0</v>
      </c>
      <c r="AM59" s="644">
        <f>AL59/4</f>
        <v>0</v>
      </c>
      <c r="AN59" s="645" t="str">
        <f>IF(C58="","",C58)</f>
        <v/>
      </c>
      <c r="AO59" s="646" t="str">
        <f>IF(D58="","",D58)</f>
        <v/>
      </c>
      <c r="AP59" s="647" t="str">
        <f>IF(D58&lt;&gt;"",VLOOKUP(D58,$AU$2:$AV$6,2,FALSE),"")</f>
        <v/>
      </c>
      <c r="AQ59" s="644" t="e">
        <f>ROUNDDOWN(AL59/$AL$6,2)</f>
        <v>#DIV/0!</v>
      </c>
      <c r="AR59" s="644" t="e">
        <f>IF(AP59=1,"",AQ59)</f>
        <v>#DIV/0!</v>
      </c>
    </row>
    <row r="60" spans="1:44" ht="15.9" customHeight="1">
      <c r="A60" s="582"/>
      <c r="B60" s="1655" t="s">
        <v>1259</v>
      </c>
      <c r="C60" s="1640"/>
      <c r="D60" s="1642"/>
      <c r="E60" s="1644"/>
      <c r="F60" s="627" t="s">
        <v>1233</v>
      </c>
      <c r="G60" s="628"/>
      <c r="H60" s="629"/>
      <c r="I60" s="630"/>
      <c r="J60" s="630"/>
      <c r="K60" s="630"/>
      <c r="L60" s="630"/>
      <c r="M60" s="631"/>
      <c r="N60" s="628"/>
      <c r="O60" s="629"/>
      <c r="P60" s="630"/>
      <c r="Q60" s="630"/>
      <c r="R60" s="630"/>
      <c r="S60" s="630"/>
      <c r="T60" s="631"/>
      <c r="U60" s="628"/>
      <c r="V60" s="629"/>
      <c r="W60" s="630"/>
      <c r="X60" s="630"/>
      <c r="Y60" s="630"/>
      <c r="Z60" s="630"/>
      <c r="AA60" s="631"/>
      <c r="AB60" s="628"/>
      <c r="AC60" s="629"/>
      <c r="AD60" s="630"/>
      <c r="AE60" s="630"/>
      <c r="AF60" s="630"/>
      <c r="AG60" s="630"/>
      <c r="AH60" s="631"/>
      <c r="AI60" s="632"/>
      <c r="AJ60" s="630"/>
      <c r="AK60" s="630"/>
      <c r="AL60" s="633">
        <f>SUM(G61:AK61)</f>
        <v>0</v>
      </c>
      <c r="AM60" s="634"/>
      <c r="AN60" s="635"/>
      <c r="AO60" s="636"/>
      <c r="AP60" s="634"/>
      <c r="AQ60" s="637"/>
      <c r="AR60" s="637"/>
    </row>
    <row r="61" spans="1:44" ht="15.9" customHeight="1">
      <c r="A61" s="582"/>
      <c r="B61" s="1655"/>
      <c r="C61" s="1656"/>
      <c r="D61" s="1657"/>
      <c r="E61" s="1658"/>
      <c r="F61" s="638" t="s">
        <v>1234</v>
      </c>
      <c r="G61" s="639" t="str">
        <f t="shared" ref="G61:AK61" si="26">IF(G60&lt;&gt;"",VLOOKUP(G60,$AC$197:$AL$221,9,FALSE),"")</f>
        <v/>
      </c>
      <c r="H61" s="640" t="str">
        <f t="shared" si="26"/>
        <v/>
      </c>
      <c r="I61" s="640" t="str">
        <f t="shared" si="26"/>
        <v/>
      </c>
      <c r="J61" s="640" t="str">
        <f t="shared" si="26"/>
        <v/>
      </c>
      <c r="K61" s="640" t="str">
        <f t="shared" si="26"/>
        <v/>
      </c>
      <c r="L61" s="640" t="str">
        <f t="shared" si="26"/>
        <v/>
      </c>
      <c r="M61" s="641" t="str">
        <f t="shared" si="26"/>
        <v/>
      </c>
      <c r="N61" s="639" t="str">
        <f t="shared" si="26"/>
        <v/>
      </c>
      <c r="O61" s="640" t="str">
        <f t="shared" si="26"/>
        <v/>
      </c>
      <c r="P61" s="640" t="str">
        <f t="shared" si="26"/>
        <v/>
      </c>
      <c r="Q61" s="640" t="str">
        <f t="shared" si="26"/>
        <v/>
      </c>
      <c r="R61" s="640" t="str">
        <f t="shared" si="26"/>
        <v/>
      </c>
      <c r="S61" s="640" t="str">
        <f t="shared" si="26"/>
        <v/>
      </c>
      <c r="T61" s="641" t="str">
        <f t="shared" si="26"/>
        <v/>
      </c>
      <c r="U61" s="639" t="str">
        <f t="shared" si="26"/>
        <v/>
      </c>
      <c r="V61" s="640" t="str">
        <f t="shared" si="26"/>
        <v/>
      </c>
      <c r="W61" s="640" t="str">
        <f t="shared" si="26"/>
        <v/>
      </c>
      <c r="X61" s="640" t="str">
        <f t="shared" si="26"/>
        <v/>
      </c>
      <c r="Y61" s="640" t="str">
        <f t="shared" si="26"/>
        <v/>
      </c>
      <c r="Z61" s="640" t="str">
        <f t="shared" si="26"/>
        <v/>
      </c>
      <c r="AA61" s="641" t="str">
        <f t="shared" si="26"/>
        <v/>
      </c>
      <c r="AB61" s="639" t="str">
        <f t="shared" si="26"/>
        <v/>
      </c>
      <c r="AC61" s="640" t="str">
        <f t="shared" si="26"/>
        <v/>
      </c>
      <c r="AD61" s="640" t="str">
        <f t="shared" si="26"/>
        <v/>
      </c>
      <c r="AE61" s="640" t="str">
        <f t="shared" si="26"/>
        <v/>
      </c>
      <c r="AF61" s="640" t="str">
        <f t="shared" si="26"/>
        <v/>
      </c>
      <c r="AG61" s="640" t="str">
        <f t="shared" si="26"/>
        <v/>
      </c>
      <c r="AH61" s="641" t="str">
        <f t="shared" si="26"/>
        <v/>
      </c>
      <c r="AI61" s="642" t="str">
        <f t="shared" si="26"/>
        <v/>
      </c>
      <c r="AJ61" s="640" t="str">
        <f t="shared" si="26"/>
        <v/>
      </c>
      <c r="AK61" s="640" t="str">
        <f t="shared" si="26"/>
        <v/>
      </c>
      <c r="AL61" s="643">
        <f>SUM(G61:AH61)</f>
        <v>0</v>
      </c>
      <c r="AM61" s="644">
        <f>AL61/4</f>
        <v>0</v>
      </c>
      <c r="AN61" s="645" t="str">
        <f>IF(C60="","",C60)</f>
        <v/>
      </c>
      <c r="AO61" s="646" t="str">
        <f>IF(D60="","",D60)</f>
        <v/>
      </c>
      <c r="AP61" s="647" t="str">
        <f>IF(D60&lt;&gt;"",VLOOKUP(D60,$AU$2:$AV$6,2,FALSE),"")</f>
        <v/>
      </c>
      <c r="AQ61" s="644" t="e">
        <f>ROUNDDOWN(AL61/$AL$6,2)</f>
        <v>#DIV/0!</v>
      </c>
      <c r="AR61" s="644" t="e">
        <f>IF(AP61=1,"",AQ61)</f>
        <v>#DIV/0!</v>
      </c>
    </row>
    <row r="62" spans="1:44" ht="15.9" customHeight="1">
      <c r="A62" s="582"/>
      <c r="B62" s="1655" t="s">
        <v>1260</v>
      </c>
      <c r="C62" s="1640"/>
      <c r="D62" s="1642"/>
      <c r="E62" s="1644"/>
      <c r="F62" s="627" t="s">
        <v>1233</v>
      </c>
      <c r="G62" s="628"/>
      <c r="H62" s="629"/>
      <c r="I62" s="630"/>
      <c r="J62" s="630"/>
      <c r="K62" s="630"/>
      <c r="L62" s="630"/>
      <c r="M62" s="631"/>
      <c r="N62" s="628"/>
      <c r="O62" s="629"/>
      <c r="P62" s="630"/>
      <c r="Q62" s="630"/>
      <c r="R62" s="630"/>
      <c r="S62" s="630"/>
      <c r="T62" s="631"/>
      <c r="U62" s="628"/>
      <c r="V62" s="629"/>
      <c r="W62" s="630"/>
      <c r="X62" s="630"/>
      <c r="Y62" s="630"/>
      <c r="Z62" s="630"/>
      <c r="AA62" s="631"/>
      <c r="AB62" s="628"/>
      <c r="AC62" s="629"/>
      <c r="AD62" s="630"/>
      <c r="AE62" s="630"/>
      <c r="AF62" s="630"/>
      <c r="AG62" s="630"/>
      <c r="AH62" s="631"/>
      <c r="AI62" s="648"/>
      <c r="AJ62" s="629"/>
      <c r="AK62" s="629"/>
      <c r="AL62" s="633">
        <f>SUM(G63:AK63)</f>
        <v>0</v>
      </c>
      <c r="AM62" s="634"/>
      <c r="AN62" s="635"/>
      <c r="AO62" s="636"/>
      <c r="AP62" s="634"/>
      <c r="AQ62" s="637"/>
      <c r="AR62" s="637"/>
    </row>
    <row r="63" spans="1:44" ht="15.9" customHeight="1">
      <c r="A63" s="582"/>
      <c r="B63" s="1655"/>
      <c r="C63" s="1656"/>
      <c r="D63" s="1657"/>
      <c r="E63" s="1658"/>
      <c r="F63" s="638" t="s">
        <v>1234</v>
      </c>
      <c r="G63" s="639" t="str">
        <f t="shared" ref="G63:AK63" si="27">IF(G62&lt;&gt;"",VLOOKUP(G62,$AC$197:$AL$221,9,FALSE),"")</f>
        <v/>
      </c>
      <c r="H63" s="640" t="str">
        <f t="shared" si="27"/>
        <v/>
      </c>
      <c r="I63" s="640" t="str">
        <f t="shared" si="27"/>
        <v/>
      </c>
      <c r="J63" s="640" t="str">
        <f t="shared" si="27"/>
        <v/>
      </c>
      <c r="K63" s="640" t="str">
        <f t="shared" si="27"/>
        <v/>
      </c>
      <c r="L63" s="640" t="str">
        <f t="shared" si="27"/>
        <v/>
      </c>
      <c r="M63" s="641" t="str">
        <f t="shared" si="27"/>
        <v/>
      </c>
      <c r="N63" s="639" t="str">
        <f t="shared" si="27"/>
        <v/>
      </c>
      <c r="O63" s="640" t="str">
        <f t="shared" si="27"/>
        <v/>
      </c>
      <c r="P63" s="640" t="str">
        <f t="shared" si="27"/>
        <v/>
      </c>
      <c r="Q63" s="640" t="str">
        <f t="shared" si="27"/>
        <v/>
      </c>
      <c r="R63" s="640" t="str">
        <f t="shared" si="27"/>
        <v/>
      </c>
      <c r="S63" s="640" t="str">
        <f t="shared" si="27"/>
        <v/>
      </c>
      <c r="T63" s="641" t="str">
        <f t="shared" si="27"/>
        <v/>
      </c>
      <c r="U63" s="639" t="str">
        <f t="shared" si="27"/>
        <v/>
      </c>
      <c r="V63" s="640" t="str">
        <f t="shared" si="27"/>
        <v/>
      </c>
      <c r="W63" s="640" t="str">
        <f t="shared" si="27"/>
        <v/>
      </c>
      <c r="X63" s="640" t="str">
        <f t="shared" si="27"/>
        <v/>
      </c>
      <c r="Y63" s="640" t="str">
        <f t="shared" si="27"/>
        <v/>
      </c>
      <c r="Z63" s="640" t="str">
        <f t="shared" si="27"/>
        <v/>
      </c>
      <c r="AA63" s="641" t="str">
        <f t="shared" si="27"/>
        <v/>
      </c>
      <c r="AB63" s="639" t="str">
        <f t="shared" si="27"/>
        <v/>
      </c>
      <c r="AC63" s="640" t="str">
        <f t="shared" si="27"/>
        <v/>
      </c>
      <c r="AD63" s="640" t="str">
        <f t="shared" si="27"/>
        <v/>
      </c>
      <c r="AE63" s="640" t="str">
        <f t="shared" si="27"/>
        <v/>
      </c>
      <c r="AF63" s="640" t="str">
        <f t="shared" si="27"/>
        <v/>
      </c>
      <c r="AG63" s="640" t="str">
        <f t="shared" si="27"/>
        <v/>
      </c>
      <c r="AH63" s="641" t="str">
        <f t="shared" si="27"/>
        <v/>
      </c>
      <c r="AI63" s="642" t="str">
        <f t="shared" si="27"/>
        <v/>
      </c>
      <c r="AJ63" s="640" t="str">
        <f t="shared" si="27"/>
        <v/>
      </c>
      <c r="AK63" s="640" t="str">
        <f t="shared" si="27"/>
        <v/>
      </c>
      <c r="AL63" s="643">
        <f>SUM(G63:AH63)</f>
        <v>0</v>
      </c>
      <c r="AM63" s="644">
        <f>AL63/4</f>
        <v>0</v>
      </c>
      <c r="AN63" s="645" t="str">
        <f>IF(C62="","",C62)</f>
        <v/>
      </c>
      <c r="AO63" s="646" t="str">
        <f>IF(D62="","",D62)</f>
        <v/>
      </c>
      <c r="AP63" s="647" t="str">
        <f>IF(D62&lt;&gt;"",VLOOKUP(D62,$AU$2:$AV$6,2,FALSE),"")</f>
        <v/>
      </c>
      <c r="AQ63" s="644" t="e">
        <f>ROUNDDOWN(AL63/$AL$6,2)</f>
        <v>#DIV/0!</v>
      </c>
      <c r="AR63" s="644" t="e">
        <f>IF(AP63=1,"",AQ63)</f>
        <v>#DIV/0!</v>
      </c>
    </row>
    <row r="64" spans="1:44" ht="15.9" customHeight="1">
      <c r="A64" s="582"/>
      <c r="B64" s="1655" t="s">
        <v>1261</v>
      </c>
      <c r="C64" s="1640"/>
      <c r="D64" s="1642"/>
      <c r="E64" s="1644"/>
      <c r="F64" s="627" t="s">
        <v>1233</v>
      </c>
      <c r="G64" s="628"/>
      <c r="H64" s="629"/>
      <c r="I64" s="630"/>
      <c r="J64" s="630"/>
      <c r="K64" s="630"/>
      <c r="L64" s="630"/>
      <c r="M64" s="631"/>
      <c r="N64" s="628"/>
      <c r="O64" s="629"/>
      <c r="P64" s="630"/>
      <c r="Q64" s="630"/>
      <c r="R64" s="630"/>
      <c r="S64" s="630"/>
      <c r="T64" s="631"/>
      <c r="U64" s="628"/>
      <c r="V64" s="629"/>
      <c r="W64" s="630"/>
      <c r="X64" s="630"/>
      <c r="Y64" s="630"/>
      <c r="Z64" s="630"/>
      <c r="AA64" s="631"/>
      <c r="AB64" s="628"/>
      <c r="AC64" s="629"/>
      <c r="AD64" s="630"/>
      <c r="AE64" s="630"/>
      <c r="AF64" s="630"/>
      <c r="AG64" s="630"/>
      <c r="AH64" s="631"/>
      <c r="AI64" s="648"/>
      <c r="AJ64" s="629"/>
      <c r="AK64" s="629"/>
      <c r="AL64" s="633">
        <f>SUM(G65:AK65)</f>
        <v>0</v>
      </c>
      <c r="AM64" s="634"/>
      <c r="AN64" s="635"/>
      <c r="AO64" s="636"/>
      <c r="AP64" s="634"/>
      <c r="AQ64" s="637"/>
      <c r="AR64" s="637"/>
    </row>
    <row r="65" spans="1:44" ht="15.9" customHeight="1">
      <c r="A65" s="582"/>
      <c r="B65" s="1655"/>
      <c r="C65" s="1656"/>
      <c r="D65" s="1657"/>
      <c r="E65" s="1658"/>
      <c r="F65" s="638" t="s">
        <v>1234</v>
      </c>
      <c r="G65" s="639" t="str">
        <f t="shared" ref="G65:AK65" si="28">IF(G64&lt;&gt;"",VLOOKUP(G64,$AC$197:$AL$221,9,FALSE),"")</f>
        <v/>
      </c>
      <c r="H65" s="640" t="str">
        <f t="shared" si="28"/>
        <v/>
      </c>
      <c r="I65" s="640" t="str">
        <f t="shared" si="28"/>
        <v/>
      </c>
      <c r="J65" s="640" t="str">
        <f t="shared" si="28"/>
        <v/>
      </c>
      <c r="K65" s="640" t="str">
        <f t="shared" si="28"/>
        <v/>
      </c>
      <c r="L65" s="640" t="str">
        <f t="shared" si="28"/>
        <v/>
      </c>
      <c r="M65" s="641" t="str">
        <f t="shared" si="28"/>
        <v/>
      </c>
      <c r="N65" s="639" t="str">
        <f t="shared" si="28"/>
        <v/>
      </c>
      <c r="O65" s="640" t="str">
        <f t="shared" si="28"/>
        <v/>
      </c>
      <c r="P65" s="640" t="str">
        <f t="shared" si="28"/>
        <v/>
      </c>
      <c r="Q65" s="640" t="str">
        <f t="shared" si="28"/>
        <v/>
      </c>
      <c r="R65" s="640" t="str">
        <f t="shared" si="28"/>
        <v/>
      </c>
      <c r="S65" s="640" t="str">
        <f t="shared" si="28"/>
        <v/>
      </c>
      <c r="T65" s="641" t="str">
        <f t="shared" si="28"/>
        <v/>
      </c>
      <c r="U65" s="639" t="str">
        <f t="shared" si="28"/>
        <v/>
      </c>
      <c r="V65" s="640" t="str">
        <f t="shared" si="28"/>
        <v/>
      </c>
      <c r="W65" s="640" t="str">
        <f t="shared" si="28"/>
        <v/>
      </c>
      <c r="X65" s="640" t="str">
        <f t="shared" si="28"/>
        <v/>
      </c>
      <c r="Y65" s="640" t="str">
        <f t="shared" si="28"/>
        <v/>
      </c>
      <c r="Z65" s="640" t="str">
        <f t="shared" si="28"/>
        <v/>
      </c>
      <c r="AA65" s="641" t="str">
        <f t="shared" si="28"/>
        <v/>
      </c>
      <c r="AB65" s="639" t="str">
        <f t="shared" si="28"/>
        <v/>
      </c>
      <c r="AC65" s="640" t="str">
        <f t="shared" si="28"/>
        <v/>
      </c>
      <c r="AD65" s="640" t="str">
        <f t="shared" si="28"/>
        <v/>
      </c>
      <c r="AE65" s="640" t="str">
        <f t="shared" si="28"/>
        <v/>
      </c>
      <c r="AF65" s="640" t="str">
        <f t="shared" si="28"/>
        <v/>
      </c>
      <c r="AG65" s="640" t="str">
        <f t="shared" si="28"/>
        <v/>
      </c>
      <c r="AH65" s="641" t="str">
        <f t="shared" si="28"/>
        <v/>
      </c>
      <c r="AI65" s="642" t="str">
        <f t="shared" si="28"/>
        <v/>
      </c>
      <c r="AJ65" s="640" t="str">
        <f t="shared" si="28"/>
        <v/>
      </c>
      <c r="AK65" s="640" t="str">
        <f t="shared" si="28"/>
        <v/>
      </c>
      <c r="AL65" s="643">
        <f>SUM(G65:AH65)</f>
        <v>0</v>
      </c>
      <c r="AM65" s="644">
        <f>AL65/4</f>
        <v>0</v>
      </c>
      <c r="AN65" s="645" t="str">
        <f>IF(C64="","",C64)</f>
        <v/>
      </c>
      <c r="AO65" s="646" t="str">
        <f>IF(D64="","",D64)</f>
        <v/>
      </c>
      <c r="AP65" s="647" t="str">
        <f>IF(D64&lt;&gt;"",VLOOKUP(D64,$AU$2:$AV$6,2,FALSE),"")</f>
        <v/>
      </c>
      <c r="AQ65" s="644" t="e">
        <f>ROUNDDOWN(AL65/$AL$6,2)</f>
        <v>#DIV/0!</v>
      </c>
      <c r="AR65" s="644" t="e">
        <f>IF(AP65=1,"",AQ65)</f>
        <v>#DIV/0!</v>
      </c>
    </row>
    <row r="66" spans="1:44" ht="15.9" customHeight="1">
      <c r="A66" s="582"/>
      <c r="B66" s="1655" t="s">
        <v>1262</v>
      </c>
      <c r="C66" s="1640"/>
      <c r="D66" s="1642"/>
      <c r="E66" s="1644"/>
      <c r="F66" s="627" t="s">
        <v>1233</v>
      </c>
      <c r="G66" s="628"/>
      <c r="H66" s="629"/>
      <c r="I66" s="630"/>
      <c r="J66" s="630"/>
      <c r="K66" s="630"/>
      <c r="L66" s="630"/>
      <c r="M66" s="631"/>
      <c r="N66" s="628"/>
      <c r="O66" s="629"/>
      <c r="P66" s="630"/>
      <c r="Q66" s="630"/>
      <c r="R66" s="630"/>
      <c r="S66" s="630"/>
      <c r="T66" s="631"/>
      <c r="U66" s="628"/>
      <c r="V66" s="629"/>
      <c r="W66" s="630"/>
      <c r="X66" s="630"/>
      <c r="Y66" s="630"/>
      <c r="Z66" s="630"/>
      <c r="AA66" s="631"/>
      <c r="AB66" s="628"/>
      <c r="AC66" s="629"/>
      <c r="AD66" s="630"/>
      <c r="AE66" s="630"/>
      <c r="AF66" s="630"/>
      <c r="AG66" s="630"/>
      <c r="AH66" s="631"/>
      <c r="AI66" s="632"/>
      <c r="AJ66" s="630"/>
      <c r="AK66" s="630"/>
      <c r="AL66" s="633">
        <f>SUM(G67:AK67)</f>
        <v>0</v>
      </c>
      <c r="AM66" s="634"/>
      <c r="AN66" s="635"/>
      <c r="AO66" s="636"/>
      <c r="AP66" s="634"/>
      <c r="AQ66" s="637"/>
      <c r="AR66" s="637"/>
    </row>
    <row r="67" spans="1:44" ht="15.9" customHeight="1">
      <c r="A67" s="582"/>
      <c r="B67" s="1655"/>
      <c r="C67" s="1656"/>
      <c r="D67" s="1657"/>
      <c r="E67" s="1658"/>
      <c r="F67" s="638" t="s">
        <v>1234</v>
      </c>
      <c r="G67" s="639" t="str">
        <f t="shared" ref="G67:AK67" si="29">IF(G66&lt;&gt;"",VLOOKUP(G66,$AC$197:$AL$221,9,FALSE),"")</f>
        <v/>
      </c>
      <c r="H67" s="640" t="str">
        <f t="shared" si="29"/>
        <v/>
      </c>
      <c r="I67" s="640" t="str">
        <f t="shared" si="29"/>
        <v/>
      </c>
      <c r="J67" s="640" t="str">
        <f t="shared" si="29"/>
        <v/>
      </c>
      <c r="K67" s="640" t="str">
        <f t="shared" si="29"/>
        <v/>
      </c>
      <c r="L67" s="640" t="str">
        <f t="shared" si="29"/>
        <v/>
      </c>
      <c r="M67" s="641" t="str">
        <f t="shared" si="29"/>
        <v/>
      </c>
      <c r="N67" s="639" t="str">
        <f t="shared" si="29"/>
        <v/>
      </c>
      <c r="O67" s="640" t="str">
        <f t="shared" si="29"/>
        <v/>
      </c>
      <c r="P67" s="640" t="str">
        <f t="shared" si="29"/>
        <v/>
      </c>
      <c r="Q67" s="640" t="str">
        <f t="shared" si="29"/>
        <v/>
      </c>
      <c r="R67" s="640" t="str">
        <f t="shared" si="29"/>
        <v/>
      </c>
      <c r="S67" s="640" t="str">
        <f t="shared" si="29"/>
        <v/>
      </c>
      <c r="T67" s="641" t="str">
        <f t="shared" si="29"/>
        <v/>
      </c>
      <c r="U67" s="639" t="str">
        <f t="shared" si="29"/>
        <v/>
      </c>
      <c r="V67" s="640" t="str">
        <f t="shared" si="29"/>
        <v/>
      </c>
      <c r="W67" s="640" t="str">
        <f t="shared" si="29"/>
        <v/>
      </c>
      <c r="X67" s="640" t="str">
        <f t="shared" si="29"/>
        <v/>
      </c>
      <c r="Y67" s="640" t="str">
        <f t="shared" si="29"/>
        <v/>
      </c>
      <c r="Z67" s="640" t="str">
        <f t="shared" si="29"/>
        <v/>
      </c>
      <c r="AA67" s="641" t="str">
        <f t="shared" si="29"/>
        <v/>
      </c>
      <c r="AB67" s="639" t="str">
        <f t="shared" si="29"/>
        <v/>
      </c>
      <c r="AC67" s="640" t="str">
        <f t="shared" si="29"/>
        <v/>
      </c>
      <c r="AD67" s="640" t="str">
        <f t="shared" si="29"/>
        <v/>
      </c>
      <c r="AE67" s="640" t="str">
        <f t="shared" si="29"/>
        <v/>
      </c>
      <c r="AF67" s="640" t="str">
        <f t="shared" si="29"/>
        <v/>
      </c>
      <c r="AG67" s="640" t="str">
        <f t="shared" si="29"/>
        <v/>
      </c>
      <c r="AH67" s="641" t="str">
        <f t="shared" si="29"/>
        <v/>
      </c>
      <c r="AI67" s="642" t="str">
        <f t="shared" si="29"/>
        <v/>
      </c>
      <c r="AJ67" s="640" t="str">
        <f t="shared" si="29"/>
        <v/>
      </c>
      <c r="AK67" s="640" t="str">
        <f t="shared" si="29"/>
        <v/>
      </c>
      <c r="AL67" s="643">
        <f>SUM(G67:AH67)</f>
        <v>0</v>
      </c>
      <c r="AM67" s="644">
        <f>AL67/4</f>
        <v>0</v>
      </c>
      <c r="AN67" s="645" t="str">
        <f>IF(C66="","",C66)</f>
        <v/>
      </c>
      <c r="AO67" s="646" t="str">
        <f>IF(D66="","",D66)</f>
        <v/>
      </c>
      <c r="AP67" s="647" t="str">
        <f>IF(D66&lt;&gt;"",VLOOKUP(D66,$AU$2:$AV$6,2,FALSE),"")</f>
        <v/>
      </c>
      <c r="AQ67" s="644" t="e">
        <f>ROUNDDOWN(AL67/$AL$6,2)</f>
        <v>#DIV/0!</v>
      </c>
      <c r="AR67" s="644" t="e">
        <f>IF(AP67=1,"",AQ67)</f>
        <v>#DIV/0!</v>
      </c>
    </row>
    <row r="68" spans="1:44" ht="15.9" customHeight="1">
      <c r="A68" s="582"/>
      <c r="B68" s="1655" t="s">
        <v>1263</v>
      </c>
      <c r="C68" s="1640"/>
      <c r="D68" s="1642"/>
      <c r="E68" s="1644"/>
      <c r="F68" s="627" t="s">
        <v>1233</v>
      </c>
      <c r="G68" s="628"/>
      <c r="H68" s="629"/>
      <c r="I68" s="630"/>
      <c r="J68" s="630"/>
      <c r="K68" s="630"/>
      <c r="L68" s="630"/>
      <c r="M68" s="631"/>
      <c r="N68" s="628"/>
      <c r="O68" s="629"/>
      <c r="P68" s="630"/>
      <c r="Q68" s="630"/>
      <c r="R68" s="630"/>
      <c r="S68" s="630"/>
      <c r="T68" s="631"/>
      <c r="U68" s="628"/>
      <c r="V68" s="629"/>
      <c r="W68" s="630"/>
      <c r="X68" s="630"/>
      <c r="Y68" s="630"/>
      <c r="Z68" s="630"/>
      <c r="AA68" s="631"/>
      <c r="AB68" s="628"/>
      <c r="AC68" s="629"/>
      <c r="AD68" s="630"/>
      <c r="AE68" s="630"/>
      <c r="AF68" s="630"/>
      <c r="AG68" s="630"/>
      <c r="AH68" s="631"/>
      <c r="AI68" s="632"/>
      <c r="AJ68" s="630"/>
      <c r="AK68" s="630"/>
      <c r="AL68" s="633">
        <f>SUM(G69:AK69)</f>
        <v>0</v>
      </c>
      <c r="AM68" s="634"/>
      <c r="AN68" s="635"/>
      <c r="AO68" s="636"/>
      <c r="AP68" s="634"/>
      <c r="AQ68" s="637"/>
      <c r="AR68" s="637"/>
    </row>
    <row r="69" spans="1:44" ht="15.9" customHeight="1">
      <c r="A69" s="582"/>
      <c r="B69" s="1655"/>
      <c r="C69" s="1656"/>
      <c r="D69" s="1657"/>
      <c r="E69" s="1658"/>
      <c r="F69" s="638" t="s">
        <v>1234</v>
      </c>
      <c r="G69" s="639" t="str">
        <f t="shared" ref="G69:AK69" si="30">IF(G68&lt;&gt;"",VLOOKUP(G68,$AC$197:$AL$221,9,FALSE),"")</f>
        <v/>
      </c>
      <c r="H69" s="640" t="str">
        <f t="shared" si="30"/>
        <v/>
      </c>
      <c r="I69" s="640" t="str">
        <f t="shared" si="30"/>
        <v/>
      </c>
      <c r="J69" s="640" t="str">
        <f t="shared" si="30"/>
        <v/>
      </c>
      <c r="K69" s="640" t="str">
        <f t="shared" si="30"/>
        <v/>
      </c>
      <c r="L69" s="640" t="str">
        <f t="shared" si="30"/>
        <v/>
      </c>
      <c r="M69" s="641" t="str">
        <f t="shared" si="30"/>
        <v/>
      </c>
      <c r="N69" s="639" t="str">
        <f t="shared" si="30"/>
        <v/>
      </c>
      <c r="O69" s="640" t="str">
        <f t="shared" si="30"/>
        <v/>
      </c>
      <c r="P69" s="640" t="str">
        <f t="shared" si="30"/>
        <v/>
      </c>
      <c r="Q69" s="640" t="str">
        <f t="shared" si="30"/>
        <v/>
      </c>
      <c r="R69" s="640" t="str">
        <f t="shared" si="30"/>
        <v/>
      </c>
      <c r="S69" s="640" t="str">
        <f t="shared" si="30"/>
        <v/>
      </c>
      <c r="T69" s="641" t="str">
        <f t="shared" si="30"/>
        <v/>
      </c>
      <c r="U69" s="639" t="str">
        <f t="shared" si="30"/>
        <v/>
      </c>
      <c r="V69" s="640" t="str">
        <f t="shared" si="30"/>
        <v/>
      </c>
      <c r="W69" s="640" t="str">
        <f t="shared" si="30"/>
        <v/>
      </c>
      <c r="X69" s="640" t="str">
        <f t="shared" si="30"/>
        <v/>
      </c>
      <c r="Y69" s="640" t="str">
        <f t="shared" si="30"/>
        <v/>
      </c>
      <c r="Z69" s="640" t="str">
        <f t="shared" si="30"/>
        <v/>
      </c>
      <c r="AA69" s="641" t="str">
        <f t="shared" si="30"/>
        <v/>
      </c>
      <c r="AB69" s="639" t="str">
        <f t="shared" si="30"/>
        <v/>
      </c>
      <c r="AC69" s="640" t="str">
        <f t="shared" si="30"/>
        <v/>
      </c>
      <c r="AD69" s="640" t="str">
        <f t="shared" si="30"/>
        <v/>
      </c>
      <c r="AE69" s="640" t="str">
        <f t="shared" si="30"/>
        <v/>
      </c>
      <c r="AF69" s="640" t="str">
        <f t="shared" si="30"/>
        <v/>
      </c>
      <c r="AG69" s="640" t="str">
        <f t="shared" si="30"/>
        <v/>
      </c>
      <c r="AH69" s="641" t="str">
        <f t="shared" si="30"/>
        <v/>
      </c>
      <c r="AI69" s="642" t="str">
        <f t="shared" si="30"/>
        <v/>
      </c>
      <c r="AJ69" s="640" t="str">
        <f t="shared" si="30"/>
        <v/>
      </c>
      <c r="AK69" s="640" t="str">
        <f t="shared" si="30"/>
        <v/>
      </c>
      <c r="AL69" s="643">
        <f>SUM(G69:AH69)</f>
        <v>0</v>
      </c>
      <c r="AM69" s="644">
        <f>AL69/4</f>
        <v>0</v>
      </c>
      <c r="AN69" s="645" t="str">
        <f>IF(C68="","",C68)</f>
        <v/>
      </c>
      <c r="AO69" s="646" t="str">
        <f>IF(D68="","",D68)</f>
        <v/>
      </c>
      <c r="AP69" s="647" t="str">
        <f>IF(D68&lt;&gt;"",VLOOKUP(D68,$AU$2:$AV$6,2,FALSE),"")</f>
        <v/>
      </c>
      <c r="AQ69" s="644" t="e">
        <f>ROUNDDOWN(AL69/$AL$6,2)</f>
        <v>#DIV/0!</v>
      </c>
      <c r="AR69" s="644" t="e">
        <f>IF(AP69=1,"",AQ69)</f>
        <v>#DIV/0!</v>
      </c>
    </row>
    <row r="70" spans="1:44" ht="15.9" customHeight="1">
      <c r="A70" s="582"/>
      <c r="B70" s="1655" t="s">
        <v>1264</v>
      </c>
      <c r="C70" s="1640"/>
      <c r="D70" s="1642"/>
      <c r="E70" s="1644"/>
      <c r="F70" s="627" t="s">
        <v>1233</v>
      </c>
      <c r="G70" s="628"/>
      <c r="H70" s="629"/>
      <c r="I70" s="630"/>
      <c r="J70" s="630"/>
      <c r="K70" s="630"/>
      <c r="L70" s="630"/>
      <c r="M70" s="631"/>
      <c r="N70" s="628"/>
      <c r="O70" s="629"/>
      <c r="P70" s="630"/>
      <c r="Q70" s="630"/>
      <c r="R70" s="630"/>
      <c r="S70" s="630"/>
      <c r="T70" s="631"/>
      <c r="U70" s="628"/>
      <c r="V70" s="629"/>
      <c r="W70" s="630"/>
      <c r="X70" s="630"/>
      <c r="Y70" s="630"/>
      <c r="Z70" s="630"/>
      <c r="AA70" s="631"/>
      <c r="AB70" s="628"/>
      <c r="AC70" s="629"/>
      <c r="AD70" s="630"/>
      <c r="AE70" s="630"/>
      <c r="AF70" s="630"/>
      <c r="AG70" s="630"/>
      <c r="AH70" s="631"/>
      <c r="AI70" s="648"/>
      <c r="AJ70" s="629"/>
      <c r="AK70" s="629"/>
      <c r="AL70" s="633">
        <f>SUM(G71:AK71)</f>
        <v>0</v>
      </c>
      <c r="AM70" s="634"/>
      <c r="AN70" s="635"/>
      <c r="AO70" s="636"/>
      <c r="AP70" s="634"/>
      <c r="AQ70" s="637"/>
      <c r="AR70" s="637"/>
    </row>
    <row r="71" spans="1:44" ht="15.9" customHeight="1">
      <c r="A71" s="582"/>
      <c r="B71" s="1655"/>
      <c r="C71" s="1656"/>
      <c r="D71" s="1657"/>
      <c r="E71" s="1658"/>
      <c r="F71" s="638" t="s">
        <v>1234</v>
      </c>
      <c r="G71" s="639" t="str">
        <f t="shared" ref="G71:AK71" si="31">IF(G70&lt;&gt;"",VLOOKUP(G70,$AC$197:$AL$221,9,FALSE),"")</f>
        <v/>
      </c>
      <c r="H71" s="640" t="str">
        <f t="shared" si="31"/>
        <v/>
      </c>
      <c r="I71" s="640" t="str">
        <f t="shared" si="31"/>
        <v/>
      </c>
      <c r="J71" s="640" t="str">
        <f t="shared" si="31"/>
        <v/>
      </c>
      <c r="K71" s="640" t="str">
        <f t="shared" si="31"/>
        <v/>
      </c>
      <c r="L71" s="640" t="str">
        <f t="shared" si="31"/>
        <v/>
      </c>
      <c r="M71" s="641" t="str">
        <f t="shared" si="31"/>
        <v/>
      </c>
      <c r="N71" s="639" t="str">
        <f t="shared" si="31"/>
        <v/>
      </c>
      <c r="O71" s="640" t="str">
        <f t="shared" si="31"/>
        <v/>
      </c>
      <c r="P71" s="640" t="str">
        <f t="shared" si="31"/>
        <v/>
      </c>
      <c r="Q71" s="640" t="str">
        <f t="shared" si="31"/>
        <v/>
      </c>
      <c r="R71" s="640" t="str">
        <f t="shared" si="31"/>
        <v/>
      </c>
      <c r="S71" s="640" t="str">
        <f t="shared" si="31"/>
        <v/>
      </c>
      <c r="T71" s="641" t="str">
        <f t="shared" si="31"/>
        <v/>
      </c>
      <c r="U71" s="639" t="str">
        <f t="shared" si="31"/>
        <v/>
      </c>
      <c r="V71" s="640" t="str">
        <f t="shared" si="31"/>
        <v/>
      </c>
      <c r="W71" s="640" t="str">
        <f t="shared" si="31"/>
        <v/>
      </c>
      <c r="X71" s="640" t="str">
        <f t="shared" si="31"/>
        <v/>
      </c>
      <c r="Y71" s="640" t="str">
        <f t="shared" si="31"/>
        <v/>
      </c>
      <c r="Z71" s="640" t="str">
        <f t="shared" si="31"/>
        <v/>
      </c>
      <c r="AA71" s="641" t="str">
        <f t="shared" si="31"/>
        <v/>
      </c>
      <c r="AB71" s="639" t="str">
        <f t="shared" si="31"/>
        <v/>
      </c>
      <c r="AC71" s="640" t="str">
        <f t="shared" si="31"/>
        <v/>
      </c>
      <c r="AD71" s="640" t="str">
        <f t="shared" si="31"/>
        <v/>
      </c>
      <c r="AE71" s="640" t="str">
        <f t="shared" si="31"/>
        <v/>
      </c>
      <c r="AF71" s="640" t="str">
        <f t="shared" si="31"/>
        <v/>
      </c>
      <c r="AG71" s="640" t="str">
        <f t="shared" si="31"/>
        <v/>
      </c>
      <c r="AH71" s="641" t="str">
        <f t="shared" si="31"/>
        <v/>
      </c>
      <c r="AI71" s="642" t="str">
        <f t="shared" si="31"/>
        <v/>
      </c>
      <c r="AJ71" s="640" t="str">
        <f t="shared" si="31"/>
        <v/>
      </c>
      <c r="AK71" s="640" t="str">
        <f t="shared" si="31"/>
        <v/>
      </c>
      <c r="AL71" s="643">
        <f>SUM(G71:AH71)</f>
        <v>0</v>
      </c>
      <c r="AM71" s="644">
        <f>AL71/4</f>
        <v>0</v>
      </c>
      <c r="AN71" s="645" t="str">
        <f>IF(C70="","",C70)</f>
        <v/>
      </c>
      <c r="AO71" s="646" t="str">
        <f>IF(D70="","",D70)</f>
        <v/>
      </c>
      <c r="AP71" s="647" t="str">
        <f>IF(D70&lt;&gt;"",VLOOKUP(D70,$AU$2:$AV$6,2,FALSE),"")</f>
        <v/>
      </c>
      <c r="AQ71" s="644" t="e">
        <f>ROUNDDOWN(AL71/$AL$6,2)</f>
        <v>#DIV/0!</v>
      </c>
      <c r="AR71" s="644" t="e">
        <f>IF(AP71=1,"",AQ71)</f>
        <v>#DIV/0!</v>
      </c>
    </row>
    <row r="72" spans="1:44" ht="15.9" customHeight="1">
      <c r="A72" s="582"/>
      <c r="B72" s="1655" t="s">
        <v>1265</v>
      </c>
      <c r="C72" s="1640"/>
      <c r="D72" s="1642"/>
      <c r="E72" s="1644"/>
      <c r="F72" s="627" t="s">
        <v>1233</v>
      </c>
      <c r="G72" s="628"/>
      <c r="H72" s="629"/>
      <c r="I72" s="630"/>
      <c r="J72" s="630"/>
      <c r="K72" s="630"/>
      <c r="L72" s="630"/>
      <c r="M72" s="631"/>
      <c r="N72" s="628"/>
      <c r="O72" s="629"/>
      <c r="P72" s="630"/>
      <c r="Q72" s="630"/>
      <c r="R72" s="630"/>
      <c r="S72" s="630"/>
      <c r="T72" s="631"/>
      <c r="U72" s="628"/>
      <c r="V72" s="629"/>
      <c r="W72" s="630"/>
      <c r="X72" s="630"/>
      <c r="Y72" s="630"/>
      <c r="Z72" s="630"/>
      <c r="AA72" s="631"/>
      <c r="AB72" s="628"/>
      <c r="AC72" s="629"/>
      <c r="AD72" s="630"/>
      <c r="AE72" s="630"/>
      <c r="AF72" s="630"/>
      <c r="AG72" s="630"/>
      <c r="AH72" s="631"/>
      <c r="AI72" s="648"/>
      <c r="AJ72" s="629"/>
      <c r="AK72" s="629"/>
      <c r="AL72" s="633">
        <f>SUM(G73:AK73)</f>
        <v>0</v>
      </c>
      <c r="AM72" s="634"/>
      <c r="AN72" s="635"/>
      <c r="AO72" s="636"/>
      <c r="AP72" s="634"/>
      <c r="AQ72" s="637"/>
      <c r="AR72" s="637"/>
    </row>
    <row r="73" spans="1:44" ht="15.9" customHeight="1">
      <c r="A73" s="582"/>
      <c r="B73" s="1655"/>
      <c r="C73" s="1656"/>
      <c r="D73" s="1657"/>
      <c r="E73" s="1658"/>
      <c r="F73" s="638" t="s">
        <v>1234</v>
      </c>
      <c r="G73" s="639" t="str">
        <f t="shared" ref="G73:AK73" si="32">IF(G72&lt;&gt;"",VLOOKUP(G72,$AC$197:$AL$221,9,FALSE),"")</f>
        <v/>
      </c>
      <c r="H73" s="640" t="str">
        <f t="shared" si="32"/>
        <v/>
      </c>
      <c r="I73" s="640" t="str">
        <f t="shared" si="32"/>
        <v/>
      </c>
      <c r="J73" s="640" t="str">
        <f t="shared" si="32"/>
        <v/>
      </c>
      <c r="K73" s="640" t="str">
        <f t="shared" si="32"/>
        <v/>
      </c>
      <c r="L73" s="640" t="str">
        <f t="shared" si="32"/>
        <v/>
      </c>
      <c r="M73" s="641" t="str">
        <f t="shared" si="32"/>
        <v/>
      </c>
      <c r="N73" s="639" t="str">
        <f t="shared" si="32"/>
        <v/>
      </c>
      <c r="O73" s="640" t="str">
        <f t="shared" si="32"/>
        <v/>
      </c>
      <c r="P73" s="640" t="str">
        <f t="shared" si="32"/>
        <v/>
      </c>
      <c r="Q73" s="640" t="str">
        <f t="shared" si="32"/>
        <v/>
      </c>
      <c r="R73" s="640" t="str">
        <f t="shared" si="32"/>
        <v/>
      </c>
      <c r="S73" s="640" t="str">
        <f t="shared" si="32"/>
        <v/>
      </c>
      <c r="T73" s="641" t="str">
        <f t="shared" si="32"/>
        <v/>
      </c>
      <c r="U73" s="639" t="str">
        <f t="shared" si="32"/>
        <v/>
      </c>
      <c r="V73" s="640" t="str">
        <f t="shared" si="32"/>
        <v/>
      </c>
      <c r="W73" s="640" t="str">
        <f t="shared" si="32"/>
        <v/>
      </c>
      <c r="X73" s="640" t="str">
        <f t="shared" si="32"/>
        <v/>
      </c>
      <c r="Y73" s="640" t="str">
        <f t="shared" si="32"/>
        <v/>
      </c>
      <c r="Z73" s="640" t="str">
        <f t="shared" si="32"/>
        <v/>
      </c>
      <c r="AA73" s="641" t="str">
        <f t="shared" si="32"/>
        <v/>
      </c>
      <c r="AB73" s="639" t="str">
        <f t="shared" si="32"/>
        <v/>
      </c>
      <c r="AC73" s="640" t="str">
        <f t="shared" si="32"/>
        <v/>
      </c>
      <c r="AD73" s="640" t="str">
        <f t="shared" si="32"/>
        <v/>
      </c>
      <c r="AE73" s="640" t="str">
        <f t="shared" si="32"/>
        <v/>
      </c>
      <c r="AF73" s="640" t="str">
        <f t="shared" si="32"/>
        <v/>
      </c>
      <c r="AG73" s="640" t="str">
        <f t="shared" si="32"/>
        <v/>
      </c>
      <c r="AH73" s="641" t="str">
        <f t="shared" si="32"/>
        <v/>
      </c>
      <c r="AI73" s="642" t="str">
        <f t="shared" si="32"/>
        <v/>
      </c>
      <c r="AJ73" s="640" t="str">
        <f t="shared" si="32"/>
        <v/>
      </c>
      <c r="AK73" s="640" t="str">
        <f t="shared" si="32"/>
        <v/>
      </c>
      <c r="AL73" s="643">
        <f>SUM(G73:AH73)</f>
        <v>0</v>
      </c>
      <c r="AM73" s="644">
        <f>AL73/4</f>
        <v>0</v>
      </c>
      <c r="AN73" s="645" t="str">
        <f>IF(C72="","",C72)</f>
        <v/>
      </c>
      <c r="AO73" s="646" t="str">
        <f>IF(D72="","",D72)</f>
        <v/>
      </c>
      <c r="AP73" s="647" t="str">
        <f>IF(D72&lt;&gt;"",VLOOKUP(D72,$AU$2:$AV$6,2,FALSE),"")</f>
        <v/>
      </c>
      <c r="AQ73" s="644" t="e">
        <f>ROUNDDOWN(AL73/$AL$6,2)</f>
        <v>#DIV/0!</v>
      </c>
      <c r="AR73" s="644" t="e">
        <f>IF(AP73=1,"",AQ73)</f>
        <v>#DIV/0!</v>
      </c>
    </row>
    <row r="74" spans="1:44" ht="15.9" customHeight="1">
      <c r="A74" s="582"/>
      <c r="B74" s="1655" t="s">
        <v>1266</v>
      </c>
      <c r="C74" s="1640"/>
      <c r="D74" s="1642"/>
      <c r="E74" s="1644"/>
      <c r="F74" s="627" t="s">
        <v>1233</v>
      </c>
      <c r="G74" s="628"/>
      <c r="H74" s="629"/>
      <c r="I74" s="630"/>
      <c r="J74" s="630"/>
      <c r="K74" s="630"/>
      <c r="L74" s="630"/>
      <c r="M74" s="631"/>
      <c r="N74" s="628"/>
      <c r="O74" s="629"/>
      <c r="P74" s="630"/>
      <c r="Q74" s="630"/>
      <c r="R74" s="630"/>
      <c r="S74" s="630"/>
      <c r="T74" s="631"/>
      <c r="U74" s="628"/>
      <c r="V74" s="629"/>
      <c r="W74" s="630"/>
      <c r="X74" s="630"/>
      <c r="Y74" s="630"/>
      <c r="Z74" s="630"/>
      <c r="AA74" s="631"/>
      <c r="AB74" s="628"/>
      <c r="AC74" s="629"/>
      <c r="AD74" s="630"/>
      <c r="AE74" s="630"/>
      <c r="AF74" s="630"/>
      <c r="AG74" s="630"/>
      <c r="AH74" s="631"/>
      <c r="AI74" s="632"/>
      <c r="AJ74" s="630"/>
      <c r="AK74" s="630"/>
      <c r="AL74" s="633">
        <f>SUM(G75:AK75)</f>
        <v>0</v>
      </c>
      <c r="AM74" s="634"/>
      <c r="AN74" s="635"/>
      <c r="AO74" s="636"/>
      <c r="AP74" s="634"/>
      <c r="AQ74" s="637"/>
      <c r="AR74" s="637"/>
    </row>
    <row r="75" spans="1:44" ht="15.9" customHeight="1">
      <c r="A75" s="582"/>
      <c r="B75" s="1655"/>
      <c r="C75" s="1656"/>
      <c r="D75" s="1657"/>
      <c r="E75" s="1658"/>
      <c r="F75" s="638" t="s">
        <v>1234</v>
      </c>
      <c r="G75" s="639" t="str">
        <f t="shared" ref="G75:AK75" si="33">IF(G74&lt;&gt;"",VLOOKUP(G74,$AC$197:$AL$221,9,FALSE),"")</f>
        <v/>
      </c>
      <c r="H75" s="640" t="str">
        <f t="shared" si="33"/>
        <v/>
      </c>
      <c r="I75" s="640" t="str">
        <f t="shared" si="33"/>
        <v/>
      </c>
      <c r="J75" s="640" t="str">
        <f t="shared" si="33"/>
        <v/>
      </c>
      <c r="K75" s="640" t="str">
        <f t="shared" si="33"/>
        <v/>
      </c>
      <c r="L75" s="640" t="str">
        <f t="shared" si="33"/>
        <v/>
      </c>
      <c r="M75" s="641" t="str">
        <f t="shared" si="33"/>
        <v/>
      </c>
      <c r="N75" s="639" t="str">
        <f t="shared" si="33"/>
        <v/>
      </c>
      <c r="O75" s="640" t="str">
        <f t="shared" si="33"/>
        <v/>
      </c>
      <c r="P75" s="640" t="str">
        <f t="shared" si="33"/>
        <v/>
      </c>
      <c r="Q75" s="640" t="str">
        <f t="shared" si="33"/>
        <v/>
      </c>
      <c r="R75" s="640" t="str">
        <f t="shared" si="33"/>
        <v/>
      </c>
      <c r="S75" s="640" t="str">
        <f t="shared" si="33"/>
        <v/>
      </c>
      <c r="T75" s="641" t="str">
        <f t="shared" si="33"/>
        <v/>
      </c>
      <c r="U75" s="639" t="str">
        <f t="shared" si="33"/>
        <v/>
      </c>
      <c r="V75" s="640" t="str">
        <f t="shared" si="33"/>
        <v/>
      </c>
      <c r="W75" s="640" t="str">
        <f t="shared" si="33"/>
        <v/>
      </c>
      <c r="X75" s="640" t="str">
        <f t="shared" si="33"/>
        <v/>
      </c>
      <c r="Y75" s="640" t="str">
        <f t="shared" si="33"/>
        <v/>
      </c>
      <c r="Z75" s="640" t="str">
        <f t="shared" si="33"/>
        <v/>
      </c>
      <c r="AA75" s="641" t="str">
        <f t="shared" si="33"/>
        <v/>
      </c>
      <c r="AB75" s="639" t="str">
        <f t="shared" si="33"/>
        <v/>
      </c>
      <c r="AC75" s="640" t="str">
        <f t="shared" si="33"/>
        <v/>
      </c>
      <c r="AD75" s="640" t="str">
        <f t="shared" si="33"/>
        <v/>
      </c>
      <c r="AE75" s="640" t="str">
        <f t="shared" si="33"/>
        <v/>
      </c>
      <c r="AF75" s="640" t="str">
        <f t="shared" si="33"/>
        <v/>
      </c>
      <c r="AG75" s="640" t="str">
        <f t="shared" si="33"/>
        <v/>
      </c>
      <c r="AH75" s="641" t="str">
        <f t="shared" si="33"/>
        <v/>
      </c>
      <c r="AI75" s="642" t="str">
        <f t="shared" si="33"/>
        <v/>
      </c>
      <c r="AJ75" s="640" t="str">
        <f t="shared" si="33"/>
        <v/>
      </c>
      <c r="AK75" s="640" t="str">
        <f t="shared" si="33"/>
        <v/>
      </c>
      <c r="AL75" s="643">
        <f>SUM(G75:AH75)</f>
        <v>0</v>
      </c>
      <c r="AM75" s="644">
        <f>AL75/4</f>
        <v>0</v>
      </c>
      <c r="AN75" s="645" t="str">
        <f>IF(C74="","",C74)</f>
        <v/>
      </c>
      <c r="AO75" s="646" t="str">
        <f>IF(D74="","",D74)</f>
        <v/>
      </c>
      <c r="AP75" s="647" t="str">
        <f>IF(D74&lt;&gt;"",VLOOKUP(D74,$AU$2:$AV$6,2,FALSE),"")</f>
        <v/>
      </c>
      <c r="AQ75" s="644" t="e">
        <f>ROUNDDOWN(AL75/$AL$6,2)</f>
        <v>#DIV/0!</v>
      </c>
      <c r="AR75" s="644" t="e">
        <f>IF(AP75=1,"",AQ75)</f>
        <v>#DIV/0!</v>
      </c>
    </row>
    <row r="76" spans="1:44" ht="15.9" customHeight="1">
      <c r="A76" s="582"/>
      <c r="B76" s="1655" t="s">
        <v>1267</v>
      </c>
      <c r="C76" s="1640"/>
      <c r="D76" s="1642"/>
      <c r="E76" s="1644"/>
      <c r="F76" s="627" t="s">
        <v>1233</v>
      </c>
      <c r="G76" s="628"/>
      <c r="H76" s="629"/>
      <c r="I76" s="630"/>
      <c r="J76" s="630"/>
      <c r="K76" s="630"/>
      <c r="L76" s="630"/>
      <c r="M76" s="631"/>
      <c r="N76" s="628"/>
      <c r="O76" s="629"/>
      <c r="P76" s="630"/>
      <c r="Q76" s="630"/>
      <c r="R76" s="630"/>
      <c r="S76" s="630"/>
      <c r="T76" s="631"/>
      <c r="U76" s="628"/>
      <c r="V76" s="629"/>
      <c r="W76" s="630"/>
      <c r="X76" s="630"/>
      <c r="Y76" s="630"/>
      <c r="Z76" s="630"/>
      <c r="AA76" s="631"/>
      <c r="AB76" s="628"/>
      <c r="AC76" s="629"/>
      <c r="AD76" s="630"/>
      <c r="AE76" s="630"/>
      <c r="AF76" s="630"/>
      <c r="AG76" s="630"/>
      <c r="AH76" s="631"/>
      <c r="AI76" s="632"/>
      <c r="AJ76" s="630"/>
      <c r="AK76" s="630"/>
      <c r="AL76" s="633">
        <f>SUM(G77:AK77)</f>
        <v>0</v>
      </c>
      <c r="AM76" s="634"/>
      <c r="AN76" s="635"/>
      <c r="AO76" s="636"/>
      <c r="AP76" s="634"/>
      <c r="AQ76" s="637"/>
      <c r="AR76" s="637"/>
    </row>
    <row r="77" spans="1:44" ht="15.9" customHeight="1">
      <c r="A77" s="582"/>
      <c r="B77" s="1655"/>
      <c r="C77" s="1656"/>
      <c r="D77" s="1657"/>
      <c r="E77" s="1658"/>
      <c r="F77" s="638" t="s">
        <v>1234</v>
      </c>
      <c r="G77" s="639" t="str">
        <f t="shared" ref="G77:AK77" si="34">IF(G76&lt;&gt;"",VLOOKUP(G76,$AC$197:$AL$221,9,FALSE),"")</f>
        <v/>
      </c>
      <c r="H77" s="640" t="str">
        <f t="shared" si="34"/>
        <v/>
      </c>
      <c r="I77" s="640" t="str">
        <f t="shared" si="34"/>
        <v/>
      </c>
      <c r="J77" s="640" t="str">
        <f t="shared" si="34"/>
        <v/>
      </c>
      <c r="K77" s="640" t="str">
        <f t="shared" si="34"/>
        <v/>
      </c>
      <c r="L77" s="640" t="str">
        <f t="shared" si="34"/>
        <v/>
      </c>
      <c r="M77" s="641" t="str">
        <f t="shared" si="34"/>
        <v/>
      </c>
      <c r="N77" s="639" t="str">
        <f t="shared" si="34"/>
        <v/>
      </c>
      <c r="O77" s="640" t="str">
        <f t="shared" si="34"/>
        <v/>
      </c>
      <c r="P77" s="640" t="str">
        <f t="shared" si="34"/>
        <v/>
      </c>
      <c r="Q77" s="640" t="str">
        <f t="shared" si="34"/>
        <v/>
      </c>
      <c r="R77" s="640" t="str">
        <f t="shared" si="34"/>
        <v/>
      </c>
      <c r="S77" s="640" t="str">
        <f t="shared" si="34"/>
        <v/>
      </c>
      <c r="T77" s="641" t="str">
        <f t="shared" si="34"/>
        <v/>
      </c>
      <c r="U77" s="639" t="str">
        <f t="shared" si="34"/>
        <v/>
      </c>
      <c r="V77" s="640" t="str">
        <f t="shared" si="34"/>
        <v/>
      </c>
      <c r="W77" s="640" t="str">
        <f t="shared" si="34"/>
        <v/>
      </c>
      <c r="X77" s="640" t="str">
        <f t="shared" si="34"/>
        <v/>
      </c>
      <c r="Y77" s="640" t="str">
        <f t="shared" si="34"/>
        <v/>
      </c>
      <c r="Z77" s="640" t="str">
        <f t="shared" si="34"/>
        <v/>
      </c>
      <c r="AA77" s="641" t="str">
        <f t="shared" si="34"/>
        <v/>
      </c>
      <c r="AB77" s="639" t="str">
        <f t="shared" si="34"/>
        <v/>
      </c>
      <c r="AC77" s="640" t="str">
        <f t="shared" si="34"/>
        <v/>
      </c>
      <c r="AD77" s="640" t="str">
        <f t="shared" si="34"/>
        <v/>
      </c>
      <c r="AE77" s="640" t="str">
        <f t="shared" si="34"/>
        <v/>
      </c>
      <c r="AF77" s="640" t="str">
        <f t="shared" si="34"/>
        <v/>
      </c>
      <c r="AG77" s="640" t="str">
        <f t="shared" si="34"/>
        <v/>
      </c>
      <c r="AH77" s="641" t="str">
        <f t="shared" si="34"/>
        <v/>
      </c>
      <c r="AI77" s="642" t="str">
        <f t="shared" si="34"/>
        <v/>
      </c>
      <c r="AJ77" s="640" t="str">
        <f t="shared" si="34"/>
        <v/>
      </c>
      <c r="AK77" s="640" t="str">
        <f t="shared" si="34"/>
        <v/>
      </c>
      <c r="AL77" s="643">
        <f>SUM(G77:AH77)</f>
        <v>0</v>
      </c>
      <c r="AM77" s="644">
        <f>AL77/4</f>
        <v>0</v>
      </c>
      <c r="AN77" s="645" t="str">
        <f>IF(C76="","",C76)</f>
        <v/>
      </c>
      <c r="AO77" s="646" t="str">
        <f>IF(D76="","",D76)</f>
        <v/>
      </c>
      <c r="AP77" s="647" t="str">
        <f>IF(D76&lt;&gt;"",VLOOKUP(D76,$AU$2:$AV$6,2,FALSE),"")</f>
        <v/>
      </c>
      <c r="AQ77" s="644" t="e">
        <f>ROUNDDOWN(AL77/$AL$6,2)</f>
        <v>#DIV/0!</v>
      </c>
      <c r="AR77" s="644" t="e">
        <f>IF(AP77=1,"",AQ77)</f>
        <v>#DIV/0!</v>
      </c>
    </row>
    <row r="78" spans="1:44" ht="15.9" hidden="1" customHeight="1">
      <c r="A78" s="582"/>
      <c r="B78" s="1655" t="s">
        <v>1268</v>
      </c>
      <c r="C78" s="1640"/>
      <c r="D78" s="1642"/>
      <c r="E78" s="1644"/>
      <c r="F78" s="627" t="s">
        <v>1233</v>
      </c>
      <c r="G78" s="628"/>
      <c r="H78" s="629"/>
      <c r="I78" s="630"/>
      <c r="J78" s="630"/>
      <c r="K78" s="630"/>
      <c r="L78" s="630"/>
      <c r="M78" s="631"/>
      <c r="N78" s="628"/>
      <c r="O78" s="629"/>
      <c r="P78" s="630"/>
      <c r="Q78" s="630"/>
      <c r="R78" s="630"/>
      <c r="S78" s="630"/>
      <c r="T78" s="631"/>
      <c r="U78" s="628"/>
      <c r="V78" s="629"/>
      <c r="W78" s="630"/>
      <c r="X78" s="630"/>
      <c r="Y78" s="630"/>
      <c r="Z78" s="630"/>
      <c r="AA78" s="631"/>
      <c r="AB78" s="628"/>
      <c r="AC78" s="629"/>
      <c r="AD78" s="630"/>
      <c r="AE78" s="630"/>
      <c r="AF78" s="630"/>
      <c r="AG78" s="630"/>
      <c r="AH78" s="631"/>
      <c r="AI78" s="648"/>
      <c r="AJ78" s="629"/>
      <c r="AK78" s="629"/>
      <c r="AL78" s="633">
        <f>SUM(G79:AK79)</f>
        <v>0</v>
      </c>
      <c r="AM78" s="634"/>
      <c r="AN78" s="635"/>
      <c r="AO78" s="636"/>
      <c r="AP78" s="634"/>
      <c r="AQ78" s="637"/>
      <c r="AR78" s="637"/>
    </row>
    <row r="79" spans="1:44" ht="15.9" hidden="1" customHeight="1">
      <c r="A79" s="582"/>
      <c r="B79" s="1655"/>
      <c r="C79" s="1656"/>
      <c r="D79" s="1657"/>
      <c r="E79" s="1658"/>
      <c r="F79" s="638" t="s">
        <v>1234</v>
      </c>
      <c r="G79" s="639" t="str">
        <f t="shared" ref="G79:AK79" si="35">IF(G78&lt;&gt;"",VLOOKUP(G78,$AC$197:$AL$221,9,FALSE),"")</f>
        <v/>
      </c>
      <c r="H79" s="640" t="str">
        <f t="shared" si="35"/>
        <v/>
      </c>
      <c r="I79" s="640" t="str">
        <f t="shared" si="35"/>
        <v/>
      </c>
      <c r="J79" s="640" t="str">
        <f t="shared" si="35"/>
        <v/>
      </c>
      <c r="K79" s="640" t="str">
        <f t="shared" si="35"/>
        <v/>
      </c>
      <c r="L79" s="640" t="str">
        <f t="shared" si="35"/>
        <v/>
      </c>
      <c r="M79" s="641" t="str">
        <f t="shared" si="35"/>
        <v/>
      </c>
      <c r="N79" s="639" t="str">
        <f t="shared" si="35"/>
        <v/>
      </c>
      <c r="O79" s="640" t="str">
        <f t="shared" si="35"/>
        <v/>
      </c>
      <c r="P79" s="640" t="str">
        <f t="shared" si="35"/>
        <v/>
      </c>
      <c r="Q79" s="640" t="str">
        <f t="shared" si="35"/>
        <v/>
      </c>
      <c r="R79" s="640" t="str">
        <f t="shared" si="35"/>
        <v/>
      </c>
      <c r="S79" s="640" t="str">
        <f t="shared" si="35"/>
        <v/>
      </c>
      <c r="T79" s="641" t="str">
        <f t="shared" si="35"/>
        <v/>
      </c>
      <c r="U79" s="639" t="str">
        <f t="shared" si="35"/>
        <v/>
      </c>
      <c r="V79" s="640" t="str">
        <f t="shared" si="35"/>
        <v/>
      </c>
      <c r="W79" s="640" t="str">
        <f t="shared" si="35"/>
        <v/>
      </c>
      <c r="X79" s="640" t="str">
        <f t="shared" si="35"/>
        <v/>
      </c>
      <c r="Y79" s="640" t="str">
        <f t="shared" si="35"/>
        <v/>
      </c>
      <c r="Z79" s="640" t="str">
        <f t="shared" si="35"/>
        <v/>
      </c>
      <c r="AA79" s="641" t="str">
        <f t="shared" si="35"/>
        <v/>
      </c>
      <c r="AB79" s="639" t="str">
        <f t="shared" si="35"/>
        <v/>
      </c>
      <c r="AC79" s="640" t="str">
        <f t="shared" si="35"/>
        <v/>
      </c>
      <c r="AD79" s="640" t="str">
        <f t="shared" si="35"/>
        <v/>
      </c>
      <c r="AE79" s="640" t="str">
        <f t="shared" si="35"/>
        <v/>
      </c>
      <c r="AF79" s="640" t="str">
        <f t="shared" si="35"/>
        <v/>
      </c>
      <c r="AG79" s="640" t="str">
        <f t="shared" si="35"/>
        <v/>
      </c>
      <c r="AH79" s="641" t="str">
        <f t="shared" si="35"/>
        <v/>
      </c>
      <c r="AI79" s="642" t="str">
        <f t="shared" si="35"/>
        <v/>
      </c>
      <c r="AJ79" s="640" t="str">
        <f t="shared" si="35"/>
        <v/>
      </c>
      <c r="AK79" s="640" t="str">
        <f t="shared" si="35"/>
        <v/>
      </c>
      <c r="AL79" s="643">
        <f>SUM(G79:AH79)</f>
        <v>0</v>
      </c>
      <c r="AM79" s="644">
        <f>AL79/4</f>
        <v>0</v>
      </c>
      <c r="AN79" s="645" t="str">
        <f>IF(C78="","",C78)</f>
        <v/>
      </c>
      <c r="AO79" s="646" t="str">
        <f>IF(D78="","",D78)</f>
        <v/>
      </c>
      <c r="AP79" s="647" t="str">
        <f>IF(D78&lt;&gt;"",VLOOKUP(D78,$AU$2:$AV$6,2,FALSE),"")</f>
        <v/>
      </c>
      <c r="AQ79" s="644" t="e">
        <f>ROUNDDOWN(AL79/$AL$6,2)</f>
        <v>#DIV/0!</v>
      </c>
      <c r="AR79" s="644" t="e">
        <f>IF(AP79=1,"",AQ79)</f>
        <v>#DIV/0!</v>
      </c>
    </row>
    <row r="80" spans="1:44" ht="15.9" hidden="1" customHeight="1">
      <c r="A80" s="582"/>
      <c r="B80" s="1655" t="s">
        <v>1269</v>
      </c>
      <c r="C80" s="1640"/>
      <c r="D80" s="1642"/>
      <c r="E80" s="1644"/>
      <c r="F80" s="627" t="s">
        <v>1233</v>
      </c>
      <c r="G80" s="628"/>
      <c r="H80" s="629"/>
      <c r="I80" s="630"/>
      <c r="J80" s="630"/>
      <c r="K80" s="630"/>
      <c r="L80" s="630"/>
      <c r="M80" s="631"/>
      <c r="N80" s="628"/>
      <c r="O80" s="629"/>
      <c r="P80" s="630"/>
      <c r="Q80" s="630"/>
      <c r="R80" s="630"/>
      <c r="S80" s="630"/>
      <c r="T80" s="631"/>
      <c r="U80" s="628"/>
      <c r="V80" s="629"/>
      <c r="W80" s="630"/>
      <c r="X80" s="630"/>
      <c r="Y80" s="630"/>
      <c r="Z80" s="630"/>
      <c r="AA80" s="631"/>
      <c r="AB80" s="628"/>
      <c r="AC80" s="629"/>
      <c r="AD80" s="630"/>
      <c r="AE80" s="630"/>
      <c r="AF80" s="630"/>
      <c r="AG80" s="630"/>
      <c r="AH80" s="631"/>
      <c r="AI80" s="648"/>
      <c r="AJ80" s="629"/>
      <c r="AK80" s="629"/>
      <c r="AL80" s="633">
        <f>SUM(G81:AK81)</f>
        <v>0</v>
      </c>
      <c r="AM80" s="634"/>
      <c r="AN80" s="635"/>
      <c r="AO80" s="636"/>
      <c r="AP80" s="634"/>
      <c r="AQ80" s="637"/>
      <c r="AR80" s="637"/>
    </row>
    <row r="81" spans="1:44" ht="15.9" hidden="1" customHeight="1">
      <c r="A81" s="582"/>
      <c r="B81" s="1655"/>
      <c r="C81" s="1656"/>
      <c r="D81" s="1657"/>
      <c r="E81" s="1658"/>
      <c r="F81" s="638" t="s">
        <v>1234</v>
      </c>
      <c r="G81" s="639" t="str">
        <f t="shared" ref="G81:AK81" si="36">IF(G80&lt;&gt;"",VLOOKUP(G80,$AC$197:$AL$221,9,FALSE),"")</f>
        <v/>
      </c>
      <c r="H81" s="640" t="str">
        <f t="shared" si="36"/>
        <v/>
      </c>
      <c r="I81" s="640" t="str">
        <f t="shared" si="36"/>
        <v/>
      </c>
      <c r="J81" s="640" t="str">
        <f t="shared" si="36"/>
        <v/>
      </c>
      <c r="K81" s="640" t="str">
        <f t="shared" si="36"/>
        <v/>
      </c>
      <c r="L81" s="640" t="str">
        <f t="shared" si="36"/>
        <v/>
      </c>
      <c r="M81" s="641" t="str">
        <f t="shared" si="36"/>
        <v/>
      </c>
      <c r="N81" s="639" t="str">
        <f t="shared" si="36"/>
        <v/>
      </c>
      <c r="O81" s="640" t="str">
        <f t="shared" si="36"/>
        <v/>
      </c>
      <c r="P81" s="640" t="str">
        <f t="shared" si="36"/>
        <v/>
      </c>
      <c r="Q81" s="640" t="str">
        <f t="shared" si="36"/>
        <v/>
      </c>
      <c r="R81" s="640" t="str">
        <f t="shared" si="36"/>
        <v/>
      </c>
      <c r="S81" s="640" t="str">
        <f t="shared" si="36"/>
        <v/>
      </c>
      <c r="T81" s="641" t="str">
        <f t="shared" si="36"/>
        <v/>
      </c>
      <c r="U81" s="639" t="str">
        <f t="shared" si="36"/>
        <v/>
      </c>
      <c r="V81" s="640" t="str">
        <f t="shared" si="36"/>
        <v/>
      </c>
      <c r="W81" s="640" t="str">
        <f t="shared" si="36"/>
        <v/>
      </c>
      <c r="X81" s="640" t="str">
        <f t="shared" si="36"/>
        <v/>
      </c>
      <c r="Y81" s="640" t="str">
        <f t="shared" si="36"/>
        <v/>
      </c>
      <c r="Z81" s="640" t="str">
        <f t="shared" si="36"/>
        <v/>
      </c>
      <c r="AA81" s="641" t="str">
        <f t="shared" si="36"/>
        <v/>
      </c>
      <c r="AB81" s="639" t="str">
        <f t="shared" si="36"/>
        <v/>
      </c>
      <c r="AC81" s="640" t="str">
        <f t="shared" si="36"/>
        <v/>
      </c>
      <c r="AD81" s="640" t="str">
        <f t="shared" si="36"/>
        <v/>
      </c>
      <c r="AE81" s="640" t="str">
        <f t="shared" si="36"/>
        <v/>
      </c>
      <c r="AF81" s="640" t="str">
        <f t="shared" si="36"/>
        <v/>
      </c>
      <c r="AG81" s="640" t="str">
        <f t="shared" si="36"/>
        <v/>
      </c>
      <c r="AH81" s="641" t="str">
        <f t="shared" si="36"/>
        <v/>
      </c>
      <c r="AI81" s="642" t="str">
        <f t="shared" si="36"/>
        <v/>
      </c>
      <c r="AJ81" s="640" t="str">
        <f t="shared" si="36"/>
        <v/>
      </c>
      <c r="AK81" s="640" t="str">
        <f t="shared" si="36"/>
        <v/>
      </c>
      <c r="AL81" s="643">
        <f>SUM(G81:AH81)</f>
        <v>0</v>
      </c>
      <c r="AM81" s="644">
        <f>AL81/4</f>
        <v>0</v>
      </c>
      <c r="AN81" s="645" t="str">
        <f>IF(C80="","",C80)</f>
        <v/>
      </c>
      <c r="AO81" s="646" t="str">
        <f>IF(D80="","",D80)</f>
        <v/>
      </c>
      <c r="AP81" s="647" t="str">
        <f>IF(D80&lt;&gt;"",VLOOKUP(D80,$AU$2:$AV$6,2,FALSE),"")</f>
        <v/>
      </c>
      <c r="AQ81" s="644" t="e">
        <f>ROUNDDOWN(AL81/$AL$6,2)</f>
        <v>#DIV/0!</v>
      </c>
      <c r="AR81" s="644" t="e">
        <f>IF(AP81=1,"",AQ81)</f>
        <v>#DIV/0!</v>
      </c>
    </row>
    <row r="82" spans="1:44" ht="15.9" hidden="1" customHeight="1">
      <c r="A82" s="582"/>
      <c r="B82" s="1655" t="s">
        <v>1270</v>
      </c>
      <c r="C82" s="1640"/>
      <c r="D82" s="1642"/>
      <c r="E82" s="1644"/>
      <c r="F82" s="627" t="s">
        <v>1233</v>
      </c>
      <c r="G82" s="628"/>
      <c r="H82" s="629"/>
      <c r="I82" s="630"/>
      <c r="J82" s="630"/>
      <c r="K82" s="630"/>
      <c r="L82" s="630"/>
      <c r="M82" s="631"/>
      <c r="N82" s="628"/>
      <c r="O82" s="629"/>
      <c r="P82" s="630"/>
      <c r="Q82" s="630"/>
      <c r="R82" s="630"/>
      <c r="S82" s="630"/>
      <c r="T82" s="631"/>
      <c r="U82" s="628"/>
      <c r="V82" s="629"/>
      <c r="W82" s="630"/>
      <c r="X82" s="630"/>
      <c r="Y82" s="630"/>
      <c r="Z82" s="630"/>
      <c r="AA82" s="631"/>
      <c r="AB82" s="628"/>
      <c r="AC82" s="629"/>
      <c r="AD82" s="630"/>
      <c r="AE82" s="630"/>
      <c r="AF82" s="630"/>
      <c r="AG82" s="630"/>
      <c r="AH82" s="631"/>
      <c r="AI82" s="632"/>
      <c r="AJ82" s="630"/>
      <c r="AK82" s="630"/>
      <c r="AL82" s="633">
        <f>SUM(G83:AK83)</f>
        <v>0</v>
      </c>
      <c r="AM82" s="634"/>
      <c r="AN82" s="635"/>
      <c r="AO82" s="636"/>
      <c r="AP82" s="634"/>
      <c r="AQ82" s="637"/>
      <c r="AR82" s="637"/>
    </row>
    <row r="83" spans="1:44" ht="15.9" hidden="1" customHeight="1">
      <c r="A83" s="582"/>
      <c r="B83" s="1655"/>
      <c r="C83" s="1656"/>
      <c r="D83" s="1657"/>
      <c r="E83" s="1658"/>
      <c r="F83" s="638" t="s">
        <v>1234</v>
      </c>
      <c r="G83" s="639" t="str">
        <f t="shared" ref="G83:AK83" si="37">IF(G82&lt;&gt;"",VLOOKUP(G82,$AC$197:$AL$221,9,FALSE),"")</f>
        <v/>
      </c>
      <c r="H83" s="640" t="str">
        <f t="shared" si="37"/>
        <v/>
      </c>
      <c r="I83" s="640" t="str">
        <f t="shared" si="37"/>
        <v/>
      </c>
      <c r="J83" s="640" t="str">
        <f t="shared" si="37"/>
        <v/>
      </c>
      <c r="K83" s="640" t="str">
        <f t="shared" si="37"/>
        <v/>
      </c>
      <c r="L83" s="640" t="str">
        <f t="shared" si="37"/>
        <v/>
      </c>
      <c r="M83" s="641" t="str">
        <f t="shared" si="37"/>
        <v/>
      </c>
      <c r="N83" s="639" t="str">
        <f t="shared" si="37"/>
        <v/>
      </c>
      <c r="O83" s="640" t="str">
        <f t="shared" si="37"/>
        <v/>
      </c>
      <c r="P83" s="640" t="str">
        <f t="shared" si="37"/>
        <v/>
      </c>
      <c r="Q83" s="640" t="str">
        <f t="shared" si="37"/>
        <v/>
      </c>
      <c r="R83" s="640" t="str">
        <f t="shared" si="37"/>
        <v/>
      </c>
      <c r="S83" s="640" t="str">
        <f t="shared" si="37"/>
        <v/>
      </c>
      <c r="T83" s="641" t="str">
        <f t="shared" si="37"/>
        <v/>
      </c>
      <c r="U83" s="639" t="str">
        <f t="shared" si="37"/>
        <v/>
      </c>
      <c r="V83" s="640" t="str">
        <f t="shared" si="37"/>
        <v/>
      </c>
      <c r="W83" s="640" t="str">
        <f t="shared" si="37"/>
        <v/>
      </c>
      <c r="X83" s="640" t="str">
        <f t="shared" si="37"/>
        <v/>
      </c>
      <c r="Y83" s="640" t="str">
        <f t="shared" si="37"/>
        <v/>
      </c>
      <c r="Z83" s="640" t="str">
        <f t="shared" si="37"/>
        <v/>
      </c>
      <c r="AA83" s="641" t="str">
        <f t="shared" si="37"/>
        <v/>
      </c>
      <c r="AB83" s="639" t="str">
        <f t="shared" si="37"/>
        <v/>
      </c>
      <c r="AC83" s="640" t="str">
        <f t="shared" si="37"/>
        <v/>
      </c>
      <c r="AD83" s="640" t="str">
        <f t="shared" si="37"/>
        <v/>
      </c>
      <c r="AE83" s="640" t="str">
        <f t="shared" si="37"/>
        <v/>
      </c>
      <c r="AF83" s="640" t="str">
        <f t="shared" si="37"/>
        <v/>
      </c>
      <c r="AG83" s="640" t="str">
        <f t="shared" si="37"/>
        <v/>
      </c>
      <c r="AH83" s="641" t="str">
        <f t="shared" si="37"/>
        <v/>
      </c>
      <c r="AI83" s="642" t="str">
        <f t="shared" si="37"/>
        <v/>
      </c>
      <c r="AJ83" s="640" t="str">
        <f t="shared" si="37"/>
        <v/>
      </c>
      <c r="AK83" s="640" t="str">
        <f t="shared" si="37"/>
        <v/>
      </c>
      <c r="AL83" s="643">
        <f>SUM(G83:AH83)</f>
        <v>0</v>
      </c>
      <c r="AM83" s="644">
        <f>AL83/4</f>
        <v>0</v>
      </c>
      <c r="AN83" s="645" t="str">
        <f>IF(C82="","",C82)</f>
        <v/>
      </c>
      <c r="AO83" s="646" t="str">
        <f>IF(D82="","",D82)</f>
        <v/>
      </c>
      <c r="AP83" s="647" t="str">
        <f>IF(D82&lt;&gt;"",VLOOKUP(D82,$AU$2:$AV$6,2,FALSE),"")</f>
        <v/>
      </c>
      <c r="AQ83" s="644" t="e">
        <f>ROUNDDOWN(AL83/$AL$6,2)</f>
        <v>#DIV/0!</v>
      </c>
      <c r="AR83" s="644" t="e">
        <f>IF(AP83=1,"",AQ83)</f>
        <v>#DIV/0!</v>
      </c>
    </row>
    <row r="84" spans="1:44" ht="15.9" hidden="1" customHeight="1">
      <c r="A84" s="582"/>
      <c r="B84" s="1655" t="s">
        <v>1271</v>
      </c>
      <c r="C84" s="1640"/>
      <c r="D84" s="1642"/>
      <c r="E84" s="1644"/>
      <c r="F84" s="627" t="s">
        <v>1233</v>
      </c>
      <c r="G84" s="628"/>
      <c r="H84" s="629"/>
      <c r="I84" s="630"/>
      <c r="J84" s="630"/>
      <c r="K84" s="630"/>
      <c r="L84" s="630"/>
      <c r="M84" s="631"/>
      <c r="N84" s="628"/>
      <c r="O84" s="629"/>
      <c r="P84" s="630"/>
      <c r="Q84" s="630"/>
      <c r="R84" s="630"/>
      <c r="S84" s="630"/>
      <c r="T84" s="631"/>
      <c r="U84" s="628"/>
      <c r="V84" s="629"/>
      <c r="W84" s="630"/>
      <c r="X84" s="630"/>
      <c r="Y84" s="630"/>
      <c r="Z84" s="630"/>
      <c r="AA84" s="631"/>
      <c r="AB84" s="628"/>
      <c r="AC84" s="629"/>
      <c r="AD84" s="630"/>
      <c r="AE84" s="630"/>
      <c r="AF84" s="630"/>
      <c r="AG84" s="630"/>
      <c r="AH84" s="631"/>
      <c r="AI84" s="632"/>
      <c r="AJ84" s="630"/>
      <c r="AK84" s="630"/>
      <c r="AL84" s="633">
        <f>SUM(G85:AK85)</f>
        <v>0</v>
      </c>
      <c r="AM84" s="634"/>
      <c r="AN84" s="635"/>
      <c r="AO84" s="636"/>
      <c r="AP84" s="634"/>
      <c r="AQ84" s="637"/>
      <c r="AR84" s="637"/>
    </row>
    <row r="85" spans="1:44" ht="15.9" hidden="1" customHeight="1">
      <c r="A85" s="582"/>
      <c r="B85" s="1655"/>
      <c r="C85" s="1656"/>
      <c r="D85" s="1657"/>
      <c r="E85" s="1658"/>
      <c r="F85" s="638" t="s">
        <v>1234</v>
      </c>
      <c r="G85" s="639" t="str">
        <f t="shared" ref="G85:AK85" si="38">IF(G84&lt;&gt;"",VLOOKUP(G84,$AC$197:$AL$221,9,FALSE),"")</f>
        <v/>
      </c>
      <c r="H85" s="640" t="str">
        <f t="shared" si="38"/>
        <v/>
      </c>
      <c r="I85" s="640" t="str">
        <f t="shared" si="38"/>
        <v/>
      </c>
      <c r="J85" s="640" t="str">
        <f t="shared" si="38"/>
        <v/>
      </c>
      <c r="K85" s="640" t="str">
        <f t="shared" si="38"/>
        <v/>
      </c>
      <c r="L85" s="640" t="str">
        <f t="shared" si="38"/>
        <v/>
      </c>
      <c r="M85" s="641" t="str">
        <f t="shared" si="38"/>
        <v/>
      </c>
      <c r="N85" s="639" t="str">
        <f t="shared" si="38"/>
        <v/>
      </c>
      <c r="O85" s="640" t="str">
        <f t="shared" si="38"/>
        <v/>
      </c>
      <c r="P85" s="640" t="str">
        <f t="shared" si="38"/>
        <v/>
      </c>
      <c r="Q85" s="640" t="str">
        <f t="shared" si="38"/>
        <v/>
      </c>
      <c r="R85" s="640" t="str">
        <f t="shared" si="38"/>
        <v/>
      </c>
      <c r="S85" s="640" t="str">
        <f t="shared" si="38"/>
        <v/>
      </c>
      <c r="T85" s="641" t="str">
        <f t="shared" si="38"/>
        <v/>
      </c>
      <c r="U85" s="639" t="str">
        <f t="shared" si="38"/>
        <v/>
      </c>
      <c r="V85" s="640" t="str">
        <f t="shared" si="38"/>
        <v/>
      </c>
      <c r="W85" s="640" t="str">
        <f t="shared" si="38"/>
        <v/>
      </c>
      <c r="X85" s="640" t="str">
        <f t="shared" si="38"/>
        <v/>
      </c>
      <c r="Y85" s="640" t="str">
        <f t="shared" si="38"/>
        <v/>
      </c>
      <c r="Z85" s="640" t="str">
        <f t="shared" si="38"/>
        <v/>
      </c>
      <c r="AA85" s="641" t="str">
        <f t="shared" si="38"/>
        <v/>
      </c>
      <c r="AB85" s="639" t="str">
        <f t="shared" si="38"/>
        <v/>
      </c>
      <c r="AC85" s="640" t="str">
        <f t="shared" si="38"/>
        <v/>
      </c>
      <c r="AD85" s="640" t="str">
        <f t="shared" si="38"/>
        <v/>
      </c>
      <c r="AE85" s="640" t="str">
        <f t="shared" si="38"/>
        <v/>
      </c>
      <c r="AF85" s="640" t="str">
        <f t="shared" si="38"/>
        <v/>
      </c>
      <c r="AG85" s="640" t="str">
        <f t="shared" si="38"/>
        <v/>
      </c>
      <c r="AH85" s="641" t="str">
        <f t="shared" si="38"/>
        <v/>
      </c>
      <c r="AI85" s="642" t="str">
        <f t="shared" si="38"/>
        <v/>
      </c>
      <c r="AJ85" s="640" t="str">
        <f t="shared" si="38"/>
        <v/>
      </c>
      <c r="AK85" s="640" t="str">
        <f t="shared" si="38"/>
        <v/>
      </c>
      <c r="AL85" s="643">
        <f>SUM(G85:AH85)</f>
        <v>0</v>
      </c>
      <c r="AM85" s="644">
        <f>AL85/4</f>
        <v>0</v>
      </c>
      <c r="AN85" s="645" t="str">
        <f>IF(C84="","",C84)</f>
        <v/>
      </c>
      <c r="AO85" s="646" t="str">
        <f>IF(D84="","",D84)</f>
        <v/>
      </c>
      <c r="AP85" s="647" t="str">
        <f>IF(D84&lt;&gt;"",VLOOKUP(D84,$AU$2:$AV$6,2,FALSE),"")</f>
        <v/>
      </c>
      <c r="AQ85" s="644" t="e">
        <f>ROUNDDOWN(AL85/$AL$6,2)</f>
        <v>#DIV/0!</v>
      </c>
      <c r="AR85" s="644" t="e">
        <f>IF(AP85=1,"",AQ85)</f>
        <v>#DIV/0!</v>
      </c>
    </row>
    <row r="86" spans="1:44" ht="15.9" hidden="1" customHeight="1">
      <c r="A86" s="582"/>
      <c r="B86" s="1655" t="s">
        <v>1272</v>
      </c>
      <c r="C86" s="1640"/>
      <c r="D86" s="1642"/>
      <c r="E86" s="1644"/>
      <c r="F86" s="627" t="s">
        <v>1233</v>
      </c>
      <c r="G86" s="628"/>
      <c r="H86" s="629"/>
      <c r="I86" s="630"/>
      <c r="J86" s="630"/>
      <c r="K86" s="630"/>
      <c r="L86" s="630"/>
      <c r="M86" s="631"/>
      <c r="N86" s="628"/>
      <c r="O86" s="629"/>
      <c r="P86" s="630"/>
      <c r="Q86" s="630"/>
      <c r="R86" s="630"/>
      <c r="S86" s="630"/>
      <c r="T86" s="631"/>
      <c r="U86" s="628"/>
      <c r="V86" s="629"/>
      <c r="W86" s="630"/>
      <c r="X86" s="630"/>
      <c r="Y86" s="630"/>
      <c r="Z86" s="630"/>
      <c r="AA86" s="631"/>
      <c r="AB86" s="628"/>
      <c r="AC86" s="629"/>
      <c r="AD86" s="630"/>
      <c r="AE86" s="630"/>
      <c r="AF86" s="630"/>
      <c r="AG86" s="630"/>
      <c r="AH86" s="631"/>
      <c r="AI86" s="648"/>
      <c r="AJ86" s="629"/>
      <c r="AK86" s="629"/>
      <c r="AL86" s="633">
        <f>SUM(G87:AK87)</f>
        <v>0</v>
      </c>
      <c r="AM86" s="634"/>
      <c r="AN86" s="635"/>
      <c r="AO86" s="636"/>
      <c r="AP86" s="634"/>
      <c r="AQ86" s="637"/>
      <c r="AR86" s="637"/>
    </row>
    <row r="87" spans="1:44" ht="15.9" hidden="1" customHeight="1">
      <c r="A87" s="582"/>
      <c r="B87" s="1655"/>
      <c r="C87" s="1656"/>
      <c r="D87" s="1657"/>
      <c r="E87" s="1658"/>
      <c r="F87" s="638" t="s">
        <v>1234</v>
      </c>
      <c r="G87" s="639" t="str">
        <f t="shared" ref="G87:AK87" si="39">IF(G86&lt;&gt;"",VLOOKUP(G86,$AC$197:$AL$221,9,FALSE),"")</f>
        <v/>
      </c>
      <c r="H87" s="640" t="str">
        <f t="shared" si="39"/>
        <v/>
      </c>
      <c r="I87" s="640" t="str">
        <f t="shared" si="39"/>
        <v/>
      </c>
      <c r="J87" s="640" t="str">
        <f t="shared" si="39"/>
        <v/>
      </c>
      <c r="K87" s="640" t="str">
        <f t="shared" si="39"/>
        <v/>
      </c>
      <c r="L87" s="640" t="str">
        <f t="shared" si="39"/>
        <v/>
      </c>
      <c r="M87" s="641" t="str">
        <f t="shared" si="39"/>
        <v/>
      </c>
      <c r="N87" s="639" t="str">
        <f t="shared" si="39"/>
        <v/>
      </c>
      <c r="O87" s="640" t="str">
        <f t="shared" si="39"/>
        <v/>
      </c>
      <c r="P87" s="640" t="str">
        <f t="shared" si="39"/>
        <v/>
      </c>
      <c r="Q87" s="640" t="str">
        <f t="shared" si="39"/>
        <v/>
      </c>
      <c r="R87" s="640" t="str">
        <f t="shared" si="39"/>
        <v/>
      </c>
      <c r="S87" s="640" t="str">
        <f t="shared" si="39"/>
        <v/>
      </c>
      <c r="T87" s="641" t="str">
        <f t="shared" si="39"/>
        <v/>
      </c>
      <c r="U87" s="639" t="str">
        <f t="shared" si="39"/>
        <v/>
      </c>
      <c r="V87" s="640" t="str">
        <f t="shared" si="39"/>
        <v/>
      </c>
      <c r="W87" s="640" t="str">
        <f t="shared" si="39"/>
        <v/>
      </c>
      <c r="X87" s="640" t="str">
        <f t="shared" si="39"/>
        <v/>
      </c>
      <c r="Y87" s="640" t="str">
        <f t="shared" si="39"/>
        <v/>
      </c>
      <c r="Z87" s="640" t="str">
        <f t="shared" si="39"/>
        <v/>
      </c>
      <c r="AA87" s="641" t="str">
        <f t="shared" si="39"/>
        <v/>
      </c>
      <c r="AB87" s="639" t="str">
        <f t="shared" si="39"/>
        <v/>
      </c>
      <c r="AC87" s="640" t="str">
        <f t="shared" si="39"/>
        <v/>
      </c>
      <c r="AD87" s="640" t="str">
        <f t="shared" si="39"/>
        <v/>
      </c>
      <c r="AE87" s="640" t="str">
        <f t="shared" si="39"/>
        <v/>
      </c>
      <c r="AF87" s="640" t="str">
        <f t="shared" si="39"/>
        <v/>
      </c>
      <c r="AG87" s="640" t="str">
        <f t="shared" si="39"/>
        <v/>
      </c>
      <c r="AH87" s="641" t="str">
        <f t="shared" si="39"/>
        <v/>
      </c>
      <c r="AI87" s="642" t="str">
        <f t="shared" si="39"/>
        <v/>
      </c>
      <c r="AJ87" s="640" t="str">
        <f t="shared" si="39"/>
        <v/>
      </c>
      <c r="AK87" s="640" t="str">
        <f t="shared" si="39"/>
        <v/>
      </c>
      <c r="AL87" s="643">
        <f>SUM(G87:AH87)</f>
        <v>0</v>
      </c>
      <c r="AM87" s="644">
        <f>AL87/4</f>
        <v>0</v>
      </c>
      <c r="AN87" s="645" t="str">
        <f>IF(C86="","",C86)</f>
        <v/>
      </c>
      <c r="AO87" s="646" t="str">
        <f>IF(D86="","",D86)</f>
        <v/>
      </c>
      <c r="AP87" s="647" t="str">
        <f>IF(D86&lt;&gt;"",VLOOKUP(D86,$AU$2:$AV$6,2,FALSE),"")</f>
        <v/>
      </c>
      <c r="AQ87" s="644" t="e">
        <f>ROUNDDOWN(AL87/$AL$6,2)</f>
        <v>#DIV/0!</v>
      </c>
      <c r="AR87" s="644" t="e">
        <f>IF(AP87=1,"",AQ87)</f>
        <v>#DIV/0!</v>
      </c>
    </row>
    <row r="88" spans="1:44" ht="15.9" hidden="1" customHeight="1">
      <c r="A88" s="582"/>
      <c r="B88" s="1655" t="s">
        <v>1273</v>
      </c>
      <c r="C88" s="1640"/>
      <c r="D88" s="1642"/>
      <c r="E88" s="1644"/>
      <c r="F88" s="627" t="s">
        <v>1233</v>
      </c>
      <c r="G88" s="628"/>
      <c r="H88" s="629"/>
      <c r="I88" s="630"/>
      <c r="J88" s="630"/>
      <c r="K88" s="630"/>
      <c r="L88" s="630"/>
      <c r="M88" s="631"/>
      <c r="N88" s="628"/>
      <c r="O88" s="629"/>
      <c r="P88" s="630"/>
      <c r="Q88" s="630"/>
      <c r="R88" s="630"/>
      <c r="S88" s="630"/>
      <c r="T88" s="631"/>
      <c r="U88" s="628"/>
      <c r="V88" s="629"/>
      <c r="W88" s="630"/>
      <c r="X88" s="630"/>
      <c r="Y88" s="630"/>
      <c r="Z88" s="630"/>
      <c r="AA88" s="631"/>
      <c r="AB88" s="628"/>
      <c r="AC88" s="629"/>
      <c r="AD88" s="630"/>
      <c r="AE88" s="630"/>
      <c r="AF88" s="630"/>
      <c r="AG88" s="630"/>
      <c r="AH88" s="631"/>
      <c r="AI88" s="648"/>
      <c r="AJ88" s="629"/>
      <c r="AK88" s="629"/>
      <c r="AL88" s="633">
        <f>SUM(G89:AK89)</f>
        <v>0</v>
      </c>
      <c r="AM88" s="634"/>
      <c r="AN88" s="635"/>
      <c r="AO88" s="636"/>
      <c r="AP88" s="634"/>
      <c r="AQ88" s="637"/>
      <c r="AR88" s="637"/>
    </row>
    <row r="89" spans="1:44" ht="15.9" hidden="1" customHeight="1">
      <c r="A89" s="582"/>
      <c r="B89" s="1655"/>
      <c r="C89" s="1656"/>
      <c r="D89" s="1657"/>
      <c r="E89" s="1658"/>
      <c r="F89" s="638" t="s">
        <v>1234</v>
      </c>
      <c r="G89" s="639" t="str">
        <f t="shared" ref="G89:AK89" si="40">IF(G88&lt;&gt;"",VLOOKUP(G88,$AC$197:$AL$221,9,FALSE),"")</f>
        <v/>
      </c>
      <c r="H89" s="640" t="str">
        <f t="shared" si="40"/>
        <v/>
      </c>
      <c r="I89" s="640" t="str">
        <f t="shared" si="40"/>
        <v/>
      </c>
      <c r="J89" s="640" t="str">
        <f t="shared" si="40"/>
        <v/>
      </c>
      <c r="K89" s="640" t="str">
        <f t="shared" si="40"/>
        <v/>
      </c>
      <c r="L89" s="640" t="str">
        <f t="shared" si="40"/>
        <v/>
      </c>
      <c r="M89" s="641" t="str">
        <f t="shared" si="40"/>
        <v/>
      </c>
      <c r="N89" s="639" t="str">
        <f t="shared" si="40"/>
        <v/>
      </c>
      <c r="O89" s="640" t="str">
        <f t="shared" si="40"/>
        <v/>
      </c>
      <c r="P89" s="640" t="str">
        <f t="shared" si="40"/>
        <v/>
      </c>
      <c r="Q89" s="640" t="str">
        <f t="shared" si="40"/>
        <v/>
      </c>
      <c r="R89" s="640" t="str">
        <f t="shared" si="40"/>
        <v/>
      </c>
      <c r="S89" s="640" t="str">
        <f t="shared" si="40"/>
        <v/>
      </c>
      <c r="T89" s="641" t="str">
        <f t="shared" si="40"/>
        <v/>
      </c>
      <c r="U89" s="639" t="str">
        <f t="shared" si="40"/>
        <v/>
      </c>
      <c r="V89" s="640" t="str">
        <f t="shared" si="40"/>
        <v/>
      </c>
      <c r="W89" s="640" t="str">
        <f t="shared" si="40"/>
        <v/>
      </c>
      <c r="X89" s="640" t="str">
        <f t="shared" si="40"/>
        <v/>
      </c>
      <c r="Y89" s="640" t="str">
        <f t="shared" si="40"/>
        <v/>
      </c>
      <c r="Z89" s="640" t="str">
        <f t="shared" si="40"/>
        <v/>
      </c>
      <c r="AA89" s="641" t="str">
        <f t="shared" si="40"/>
        <v/>
      </c>
      <c r="AB89" s="639" t="str">
        <f t="shared" si="40"/>
        <v/>
      </c>
      <c r="AC89" s="640" t="str">
        <f t="shared" si="40"/>
        <v/>
      </c>
      <c r="AD89" s="640" t="str">
        <f t="shared" si="40"/>
        <v/>
      </c>
      <c r="AE89" s="640" t="str">
        <f t="shared" si="40"/>
        <v/>
      </c>
      <c r="AF89" s="640" t="str">
        <f t="shared" si="40"/>
        <v/>
      </c>
      <c r="AG89" s="640" t="str">
        <f t="shared" si="40"/>
        <v/>
      </c>
      <c r="AH89" s="641" t="str">
        <f t="shared" si="40"/>
        <v/>
      </c>
      <c r="AI89" s="642" t="str">
        <f t="shared" si="40"/>
        <v/>
      </c>
      <c r="AJ89" s="640" t="str">
        <f t="shared" si="40"/>
        <v/>
      </c>
      <c r="AK89" s="640" t="str">
        <f t="shared" si="40"/>
        <v/>
      </c>
      <c r="AL89" s="643">
        <f>SUM(G89:AH89)</f>
        <v>0</v>
      </c>
      <c r="AM89" s="644">
        <f>AL89/4</f>
        <v>0</v>
      </c>
      <c r="AN89" s="645" t="str">
        <f>IF(C88="","",C88)</f>
        <v/>
      </c>
      <c r="AO89" s="646" t="str">
        <f>IF(D88="","",D88)</f>
        <v/>
      </c>
      <c r="AP89" s="647" t="str">
        <f>IF(D88&lt;&gt;"",VLOOKUP(D88,$AU$2:$AV$6,2,FALSE),"")</f>
        <v/>
      </c>
      <c r="AQ89" s="644" t="e">
        <f>ROUNDDOWN(AL89/$AL$6,2)</f>
        <v>#DIV/0!</v>
      </c>
      <c r="AR89" s="644" t="e">
        <f>IF(AP89=1,"",AQ89)</f>
        <v>#DIV/0!</v>
      </c>
    </row>
    <row r="90" spans="1:44" ht="15.9" hidden="1" customHeight="1">
      <c r="A90" s="582"/>
      <c r="B90" s="1655" t="s">
        <v>1274</v>
      </c>
      <c r="C90" s="1640"/>
      <c r="D90" s="1642"/>
      <c r="E90" s="1644"/>
      <c r="F90" s="627" t="s">
        <v>1233</v>
      </c>
      <c r="G90" s="628"/>
      <c r="H90" s="629"/>
      <c r="I90" s="630"/>
      <c r="J90" s="630"/>
      <c r="K90" s="630"/>
      <c r="L90" s="630"/>
      <c r="M90" s="631"/>
      <c r="N90" s="628"/>
      <c r="O90" s="629"/>
      <c r="P90" s="630"/>
      <c r="Q90" s="630"/>
      <c r="R90" s="630"/>
      <c r="S90" s="630"/>
      <c r="T90" s="631"/>
      <c r="U90" s="628"/>
      <c r="V90" s="629"/>
      <c r="W90" s="630"/>
      <c r="X90" s="630"/>
      <c r="Y90" s="630"/>
      <c r="Z90" s="630"/>
      <c r="AA90" s="631"/>
      <c r="AB90" s="628"/>
      <c r="AC90" s="629"/>
      <c r="AD90" s="630"/>
      <c r="AE90" s="630"/>
      <c r="AF90" s="630"/>
      <c r="AG90" s="630"/>
      <c r="AH90" s="631"/>
      <c r="AI90" s="632"/>
      <c r="AJ90" s="630"/>
      <c r="AK90" s="630"/>
      <c r="AL90" s="633">
        <f>SUM(G91:AK91)</f>
        <v>0</v>
      </c>
      <c r="AM90" s="634"/>
      <c r="AN90" s="635"/>
      <c r="AO90" s="636"/>
      <c r="AP90" s="634"/>
      <c r="AQ90" s="637"/>
      <c r="AR90" s="637"/>
    </row>
    <row r="91" spans="1:44" ht="15.9" hidden="1" customHeight="1">
      <c r="A91" s="582"/>
      <c r="B91" s="1655"/>
      <c r="C91" s="1656"/>
      <c r="D91" s="1657"/>
      <c r="E91" s="1658"/>
      <c r="F91" s="638" t="s">
        <v>1234</v>
      </c>
      <c r="G91" s="639" t="str">
        <f t="shared" ref="G91:AK91" si="41">IF(G90&lt;&gt;"",VLOOKUP(G90,$AC$197:$AL$221,9,FALSE),"")</f>
        <v/>
      </c>
      <c r="H91" s="640" t="str">
        <f t="shared" si="41"/>
        <v/>
      </c>
      <c r="I91" s="640" t="str">
        <f t="shared" si="41"/>
        <v/>
      </c>
      <c r="J91" s="640" t="str">
        <f t="shared" si="41"/>
        <v/>
      </c>
      <c r="K91" s="640" t="str">
        <f t="shared" si="41"/>
        <v/>
      </c>
      <c r="L91" s="640" t="str">
        <f t="shared" si="41"/>
        <v/>
      </c>
      <c r="M91" s="641" t="str">
        <f t="shared" si="41"/>
        <v/>
      </c>
      <c r="N91" s="639" t="str">
        <f t="shared" si="41"/>
        <v/>
      </c>
      <c r="O91" s="640" t="str">
        <f t="shared" si="41"/>
        <v/>
      </c>
      <c r="P91" s="640" t="str">
        <f t="shared" si="41"/>
        <v/>
      </c>
      <c r="Q91" s="640" t="str">
        <f t="shared" si="41"/>
        <v/>
      </c>
      <c r="R91" s="640" t="str">
        <f t="shared" si="41"/>
        <v/>
      </c>
      <c r="S91" s="640" t="str">
        <f t="shared" si="41"/>
        <v/>
      </c>
      <c r="T91" s="641" t="str">
        <f t="shared" si="41"/>
        <v/>
      </c>
      <c r="U91" s="639" t="str">
        <f t="shared" si="41"/>
        <v/>
      </c>
      <c r="V91" s="640" t="str">
        <f t="shared" si="41"/>
        <v/>
      </c>
      <c r="W91" s="640" t="str">
        <f t="shared" si="41"/>
        <v/>
      </c>
      <c r="X91" s="640" t="str">
        <f t="shared" si="41"/>
        <v/>
      </c>
      <c r="Y91" s="640" t="str">
        <f t="shared" si="41"/>
        <v/>
      </c>
      <c r="Z91" s="640" t="str">
        <f t="shared" si="41"/>
        <v/>
      </c>
      <c r="AA91" s="641" t="str">
        <f t="shared" si="41"/>
        <v/>
      </c>
      <c r="AB91" s="639" t="str">
        <f t="shared" si="41"/>
        <v/>
      </c>
      <c r="AC91" s="640" t="str">
        <f t="shared" si="41"/>
        <v/>
      </c>
      <c r="AD91" s="640" t="str">
        <f t="shared" si="41"/>
        <v/>
      </c>
      <c r="AE91" s="640" t="str">
        <f t="shared" si="41"/>
        <v/>
      </c>
      <c r="AF91" s="640" t="str">
        <f t="shared" si="41"/>
        <v/>
      </c>
      <c r="AG91" s="640" t="str">
        <f t="shared" si="41"/>
        <v/>
      </c>
      <c r="AH91" s="641" t="str">
        <f t="shared" si="41"/>
        <v/>
      </c>
      <c r="AI91" s="642" t="str">
        <f t="shared" si="41"/>
        <v/>
      </c>
      <c r="AJ91" s="640" t="str">
        <f t="shared" si="41"/>
        <v/>
      </c>
      <c r="AK91" s="640" t="str">
        <f t="shared" si="41"/>
        <v/>
      </c>
      <c r="AL91" s="643">
        <f>SUM(G91:AH91)</f>
        <v>0</v>
      </c>
      <c r="AM91" s="644">
        <f>AL91/4</f>
        <v>0</v>
      </c>
      <c r="AN91" s="645" t="str">
        <f>IF(C90="","",C90)</f>
        <v/>
      </c>
      <c r="AO91" s="646" t="str">
        <f>IF(D90="","",D90)</f>
        <v/>
      </c>
      <c r="AP91" s="647" t="str">
        <f>IF(D90&lt;&gt;"",VLOOKUP(D90,$AU$2:$AV$6,2,FALSE),"")</f>
        <v/>
      </c>
      <c r="AQ91" s="644" t="e">
        <f>ROUNDDOWN(AL91/$AL$6,2)</f>
        <v>#DIV/0!</v>
      </c>
      <c r="AR91" s="644" t="e">
        <f>IF(AP91=1,"",AQ91)</f>
        <v>#DIV/0!</v>
      </c>
    </row>
    <row r="92" spans="1:44" ht="15.9" hidden="1" customHeight="1">
      <c r="A92" s="582"/>
      <c r="B92" s="1655" t="s">
        <v>1275</v>
      </c>
      <c r="C92" s="1640"/>
      <c r="D92" s="1642"/>
      <c r="E92" s="1644"/>
      <c r="F92" s="627" t="s">
        <v>1233</v>
      </c>
      <c r="G92" s="628"/>
      <c r="H92" s="629"/>
      <c r="I92" s="630"/>
      <c r="J92" s="630"/>
      <c r="K92" s="630"/>
      <c r="L92" s="630"/>
      <c r="M92" s="631"/>
      <c r="N92" s="628"/>
      <c r="O92" s="629"/>
      <c r="P92" s="630"/>
      <c r="Q92" s="630"/>
      <c r="R92" s="630"/>
      <c r="S92" s="630"/>
      <c r="T92" s="631"/>
      <c r="U92" s="628"/>
      <c r="V92" s="629"/>
      <c r="W92" s="630"/>
      <c r="X92" s="630"/>
      <c r="Y92" s="630"/>
      <c r="Z92" s="630"/>
      <c r="AA92" s="631"/>
      <c r="AB92" s="628"/>
      <c r="AC92" s="629"/>
      <c r="AD92" s="630"/>
      <c r="AE92" s="630"/>
      <c r="AF92" s="630"/>
      <c r="AG92" s="630"/>
      <c r="AH92" s="631"/>
      <c r="AI92" s="632"/>
      <c r="AJ92" s="630"/>
      <c r="AK92" s="630"/>
      <c r="AL92" s="633">
        <f>SUM(G93:AK93)</f>
        <v>0</v>
      </c>
      <c r="AM92" s="634"/>
      <c r="AN92" s="635"/>
      <c r="AO92" s="636"/>
      <c r="AP92" s="634"/>
      <c r="AQ92" s="637"/>
      <c r="AR92" s="637"/>
    </row>
    <row r="93" spans="1:44" ht="15.9" hidden="1" customHeight="1">
      <c r="A93" s="582"/>
      <c r="B93" s="1655"/>
      <c r="C93" s="1656"/>
      <c r="D93" s="1657"/>
      <c r="E93" s="1658"/>
      <c r="F93" s="638" t="s">
        <v>1234</v>
      </c>
      <c r="G93" s="639" t="str">
        <f t="shared" ref="G93:AK93" si="42">IF(G92&lt;&gt;"",VLOOKUP(G92,$AC$197:$AL$221,9,FALSE),"")</f>
        <v/>
      </c>
      <c r="H93" s="640" t="str">
        <f t="shared" si="42"/>
        <v/>
      </c>
      <c r="I93" s="640" t="str">
        <f t="shared" si="42"/>
        <v/>
      </c>
      <c r="J93" s="640" t="str">
        <f t="shared" si="42"/>
        <v/>
      </c>
      <c r="K93" s="640" t="str">
        <f t="shared" si="42"/>
        <v/>
      </c>
      <c r="L93" s="640" t="str">
        <f t="shared" si="42"/>
        <v/>
      </c>
      <c r="M93" s="641" t="str">
        <f t="shared" si="42"/>
        <v/>
      </c>
      <c r="N93" s="639" t="str">
        <f t="shared" si="42"/>
        <v/>
      </c>
      <c r="O93" s="640" t="str">
        <f t="shared" si="42"/>
        <v/>
      </c>
      <c r="P93" s="640" t="str">
        <f t="shared" si="42"/>
        <v/>
      </c>
      <c r="Q93" s="640" t="str">
        <f t="shared" si="42"/>
        <v/>
      </c>
      <c r="R93" s="640" t="str">
        <f t="shared" si="42"/>
        <v/>
      </c>
      <c r="S93" s="640" t="str">
        <f t="shared" si="42"/>
        <v/>
      </c>
      <c r="T93" s="641" t="str">
        <f t="shared" si="42"/>
        <v/>
      </c>
      <c r="U93" s="639" t="str">
        <f t="shared" si="42"/>
        <v/>
      </c>
      <c r="V93" s="640" t="str">
        <f t="shared" si="42"/>
        <v/>
      </c>
      <c r="W93" s="640" t="str">
        <f t="shared" si="42"/>
        <v/>
      </c>
      <c r="X93" s="640" t="str">
        <f t="shared" si="42"/>
        <v/>
      </c>
      <c r="Y93" s="640" t="str">
        <f t="shared" si="42"/>
        <v/>
      </c>
      <c r="Z93" s="640" t="str">
        <f t="shared" si="42"/>
        <v/>
      </c>
      <c r="AA93" s="641" t="str">
        <f t="shared" si="42"/>
        <v/>
      </c>
      <c r="AB93" s="639" t="str">
        <f t="shared" si="42"/>
        <v/>
      </c>
      <c r="AC93" s="640" t="str">
        <f t="shared" si="42"/>
        <v/>
      </c>
      <c r="AD93" s="640" t="str">
        <f t="shared" si="42"/>
        <v/>
      </c>
      <c r="AE93" s="640" t="str">
        <f t="shared" si="42"/>
        <v/>
      </c>
      <c r="AF93" s="640" t="str">
        <f t="shared" si="42"/>
        <v/>
      </c>
      <c r="AG93" s="640" t="str">
        <f t="shared" si="42"/>
        <v/>
      </c>
      <c r="AH93" s="641" t="str">
        <f t="shared" si="42"/>
        <v/>
      </c>
      <c r="AI93" s="642" t="str">
        <f t="shared" si="42"/>
        <v/>
      </c>
      <c r="AJ93" s="640" t="str">
        <f t="shared" si="42"/>
        <v/>
      </c>
      <c r="AK93" s="640" t="str">
        <f t="shared" si="42"/>
        <v/>
      </c>
      <c r="AL93" s="643">
        <f>SUM(G93:AH93)</f>
        <v>0</v>
      </c>
      <c r="AM93" s="644">
        <f>AL93/4</f>
        <v>0</v>
      </c>
      <c r="AN93" s="645" t="str">
        <f>IF(C92="","",C92)</f>
        <v/>
      </c>
      <c r="AO93" s="646" t="str">
        <f>IF(D92="","",D92)</f>
        <v/>
      </c>
      <c r="AP93" s="647" t="str">
        <f>IF(D92&lt;&gt;"",VLOOKUP(D92,$AU$2:$AV$6,2,FALSE),"")</f>
        <v/>
      </c>
      <c r="AQ93" s="644" t="e">
        <f>ROUNDDOWN(AL93/$AL$6,2)</f>
        <v>#DIV/0!</v>
      </c>
      <c r="AR93" s="644" t="e">
        <f>IF(AP93=1,"",AQ93)</f>
        <v>#DIV/0!</v>
      </c>
    </row>
    <row r="94" spans="1:44" ht="15.9" hidden="1" customHeight="1">
      <c r="A94" s="582"/>
      <c r="B94" s="1655" t="s">
        <v>1276</v>
      </c>
      <c r="C94" s="1640"/>
      <c r="D94" s="1642"/>
      <c r="E94" s="1644"/>
      <c r="F94" s="627" t="s">
        <v>1233</v>
      </c>
      <c r="G94" s="628"/>
      <c r="H94" s="629"/>
      <c r="I94" s="630"/>
      <c r="J94" s="630"/>
      <c r="K94" s="630"/>
      <c r="L94" s="630"/>
      <c r="M94" s="631"/>
      <c r="N94" s="628"/>
      <c r="O94" s="629"/>
      <c r="P94" s="630"/>
      <c r="Q94" s="630"/>
      <c r="R94" s="630"/>
      <c r="S94" s="630"/>
      <c r="T94" s="631"/>
      <c r="U94" s="628"/>
      <c r="V94" s="629"/>
      <c r="W94" s="630"/>
      <c r="X94" s="630"/>
      <c r="Y94" s="630"/>
      <c r="Z94" s="630"/>
      <c r="AA94" s="631"/>
      <c r="AB94" s="628"/>
      <c r="AC94" s="629"/>
      <c r="AD94" s="630"/>
      <c r="AE94" s="630"/>
      <c r="AF94" s="630"/>
      <c r="AG94" s="630"/>
      <c r="AH94" s="631"/>
      <c r="AI94" s="648"/>
      <c r="AJ94" s="629"/>
      <c r="AK94" s="629"/>
      <c r="AL94" s="633">
        <f>SUM(G95:AK95)</f>
        <v>0</v>
      </c>
      <c r="AM94" s="634"/>
      <c r="AN94" s="635"/>
      <c r="AO94" s="636"/>
      <c r="AP94" s="634"/>
      <c r="AQ94" s="637"/>
      <c r="AR94" s="637"/>
    </row>
    <row r="95" spans="1:44" ht="15.9" hidden="1" customHeight="1">
      <c r="A95" s="582"/>
      <c r="B95" s="1655"/>
      <c r="C95" s="1656"/>
      <c r="D95" s="1657"/>
      <c r="E95" s="1658"/>
      <c r="F95" s="638" t="s">
        <v>1234</v>
      </c>
      <c r="G95" s="639" t="str">
        <f t="shared" ref="G95:AK95" si="43">IF(G94&lt;&gt;"",VLOOKUP(G94,$AC$197:$AL$221,9,FALSE),"")</f>
        <v/>
      </c>
      <c r="H95" s="640" t="str">
        <f t="shared" si="43"/>
        <v/>
      </c>
      <c r="I95" s="640" t="str">
        <f t="shared" si="43"/>
        <v/>
      </c>
      <c r="J95" s="640" t="str">
        <f t="shared" si="43"/>
        <v/>
      </c>
      <c r="K95" s="640" t="str">
        <f t="shared" si="43"/>
        <v/>
      </c>
      <c r="L95" s="640" t="str">
        <f t="shared" si="43"/>
        <v/>
      </c>
      <c r="M95" s="641" t="str">
        <f t="shared" si="43"/>
        <v/>
      </c>
      <c r="N95" s="639" t="str">
        <f t="shared" si="43"/>
        <v/>
      </c>
      <c r="O95" s="640" t="str">
        <f t="shared" si="43"/>
        <v/>
      </c>
      <c r="P95" s="640" t="str">
        <f t="shared" si="43"/>
        <v/>
      </c>
      <c r="Q95" s="640" t="str">
        <f t="shared" si="43"/>
        <v/>
      </c>
      <c r="R95" s="640" t="str">
        <f t="shared" si="43"/>
        <v/>
      </c>
      <c r="S95" s="640" t="str">
        <f t="shared" si="43"/>
        <v/>
      </c>
      <c r="T95" s="641" t="str">
        <f t="shared" si="43"/>
        <v/>
      </c>
      <c r="U95" s="639" t="str">
        <f t="shared" si="43"/>
        <v/>
      </c>
      <c r="V95" s="640" t="str">
        <f t="shared" si="43"/>
        <v/>
      </c>
      <c r="W95" s="640" t="str">
        <f t="shared" si="43"/>
        <v/>
      </c>
      <c r="X95" s="640" t="str">
        <f t="shared" si="43"/>
        <v/>
      </c>
      <c r="Y95" s="640" t="str">
        <f t="shared" si="43"/>
        <v/>
      </c>
      <c r="Z95" s="640" t="str">
        <f t="shared" si="43"/>
        <v/>
      </c>
      <c r="AA95" s="641" t="str">
        <f t="shared" si="43"/>
        <v/>
      </c>
      <c r="AB95" s="639" t="str">
        <f t="shared" si="43"/>
        <v/>
      </c>
      <c r="AC95" s="640" t="str">
        <f t="shared" si="43"/>
        <v/>
      </c>
      <c r="AD95" s="640" t="str">
        <f t="shared" si="43"/>
        <v/>
      </c>
      <c r="AE95" s="640" t="str">
        <f t="shared" si="43"/>
        <v/>
      </c>
      <c r="AF95" s="640" t="str">
        <f t="shared" si="43"/>
        <v/>
      </c>
      <c r="AG95" s="640" t="str">
        <f t="shared" si="43"/>
        <v/>
      </c>
      <c r="AH95" s="641" t="str">
        <f t="shared" si="43"/>
        <v/>
      </c>
      <c r="AI95" s="642" t="str">
        <f t="shared" si="43"/>
        <v/>
      </c>
      <c r="AJ95" s="640" t="str">
        <f t="shared" si="43"/>
        <v/>
      </c>
      <c r="AK95" s="640" t="str">
        <f t="shared" si="43"/>
        <v/>
      </c>
      <c r="AL95" s="643">
        <f>SUM(G95:AH95)</f>
        <v>0</v>
      </c>
      <c r="AM95" s="644">
        <f>AL95/4</f>
        <v>0</v>
      </c>
      <c r="AN95" s="645" t="str">
        <f>IF(C94="","",C94)</f>
        <v/>
      </c>
      <c r="AO95" s="646" t="str">
        <f>IF(D94="","",D94)</f>
        <v/>
      </c>
      <c r="AP95" s="647" t="str">
        <f>IF(D94&lt;&gt;"",VLOOKUP(D94,$AU$2:$AV$6,2,FALSE),"")</f>
        <v/>
      </c>
      <c r="AQ95" s="644" t="e">
        <f>ROUNDDOWN(AL95/$AL$6,2)</f>
        <v>#DIV/0!</v>
      </c>
      <c r="AR95" s="644" t="e">
        <f>IF(AP95=1,"",AQ95)</f>
        <v>#DIV/0!</v>
      </c>
    </row>
    <row r="96" spans="1:44" ht="15.9" hidden="1" customHeight="1">
      <c r="A96" s="582"/>
      <c r="B96" s="1655" t="s">
        <v>1277</v>
      </c>
      <c r="C96" s="1640"/>
      <c r="D96" s="1642"/>
      <c r="E96" s="1644"/>
      <c r="F96" s="627" t="s">
        <v>1233</v>
      </c>
      <c r="G96" s="628"/>
      <c r="H96" s="629"/>
      <c r="I96" s="630"/>
      <c r="J96" s="630"/>
      <c r="K96" s="630"/>
      <c r="L96" s="630"/>
      <c r="M96" s="631"/>
      <c r="N96" s="628"/>
      <c r="O96" s="629"/>
      <c r="P96" s="630"/>
      <c r="Q96" s="630"/>
      <c r="R96" s="630"/>
      <c r="S96" s="630"/>
      <c r="T96" s="631"/>
      <c r="U96" s="628"/>
      <c r="V96" s="629"/>
      <c r="W96" s="630"/>
      <c r="X96" s="630"/>
      <c r="Y96" s="630"/>
      <c r="Z96" s="630"/>
      <c r="AA96" s="631"/>
      <c r="AB96" s="628"/>
      <c r="AC96" s="629"/>
      <c r="AD96" s="630"/>
      <c r="AE96" s="630"/>
      <c r="AF96" s="630"/>
      <c r="AG96" s="630"/>
      <c r="AH96" s="631"/>
      <c r="AI96" s="648"/>
      <c r="AJ96" s="629"/>
      <c r="AK96" s="629"/>
      <c r="AL96" s="633">
        <f>SUM(G97:AK97)</f>
        <v>0</v>
      </c>
      <c r="AM96" s="634"/>
      <c r="AN96" s="635"/>
      <c r="AO96" s="636"/>
      <c r="AP96" s="634"/>
      <c r="AQ96" s="637"/>
      <c r="AR96" s="637"/>
    </row>
    <row r="97" spans="1:44" ht="15.9" hidden="1" customHeight="1">
      <c r="A97" s="582"/>
      <c r="B97" s="1655"/>
      <c r="C97" s="1656"/>
      <c r="D97" s="1657"/>
      <c r="E97" s="1658"/>
      <c r="F97" s="638" t="s">
        <v>1234</v>
      </c>
      <c r="G97" s="639" t="str">
        <f t="shared" ref="G97:AK97" si="44">IF(G96&lt;&gt;"",VLOOKUP(G96,$AC$197:$AL$221,9,FALSE),"")</f>
        <v/>
      </c>
      <c r="H97" s="640" t="str">
        <f t="shared" si="44"/>
        <v/>
      </c>
      <c r="I97" s="640" t="str">
        <f t="shared" si="44"/>
        <v/>
      </c>
      <c r="J97" s="640" t="str">
        <f t="shared" si="44"/>
        <v/>
      </c>
      <c r="K97" s="640" t="str">
        <f t="shared" si="44"/>
        <v/>
      </c>
      <c r="L97" s="640" t="str">
        <f t="shared" si="44"/>
        <v/>
      </c>
      <c r="M97" s="641" t="str">
        <f t="shared" si="44"/>
        <v/>
      </c>
      <c r="N97" s="639" t="str">
        <f t="shared" si="44"/>
        <v/>
      </c>
      <c r="O97" s="640" t="str">
        <f t="shared" si="44"/>
        <v/>
      </c>
      <c r="P97" s="640" t="str">
        <f t="shared" si="44"/>
        <v/>
      </c>
      <c r="Q97" s="640" t="str">
        <f t="shared" si="44"/>
        <v/>
      </c>
      <c r="R97" s="640" t="str">
        <f t="shared" si="44"/>
        <v/>
      </c>
      <c r="S97" s="640" t="str">
        <f t="shared" si="44"/>
        <v/>
      </c>
      <c r="T97" s="641" t="str">
        <f t="shared" si="44"/>
        <v/>
      </c>
      <c r="U97" s="639" t="str">
        <f t="shared" si="44"/>
        <v/>
      </c>
      <c r="V97" s="640" t="str">
        <f t="shared" si="44"/>
        <v/>
      </c>
      <c r="W97" s="640" t="str">
        <f t="shared" si="44"/>
        <v/>
      </c>
      <c r="X97" s="640" t="str">
        <f t="shared" si="44"/>
        <v/>
      </c>
      <c r="Y97" s="640" t="str">
        <f t="shared" si="44"/>
        <v/>
      </c>
      <c r="Z97" s="640" t="str">
        <f t="shared" si="44"/>
        <v/>
      </c>
      <c r="AA97" s="641" t="str">
        <f t="shared" si="44"/>
        <v/>
      </c>
      <c r="AB97" s="639" t="str">
        <f t="shared" si="44"/>
        <v/>
      </c>
      <c r="AC97" s="640" t="str">
        <f t="shared" si="44"/>
        <v/>
      </c>
      <c r="AD97" s="640" t="str">
        <f t="shared" si="44"/>
        <v/>
      </c>
      <c r="AE97" s="640" t="str">
        <f t="shared" si="44"/>
        <v/>
      </c>
      <c r="AF97" s="640" t="str">
        <f t="shared" si="44"/>
        <v/>
      </c>
      <c r="AG97" s="640" t="str">
        <f t="shared" si="44"/>
        <v/>
      </c>
      <c r="AH97" s="641" t="str">
        <f t="shared" si="44"/>
        <v/>
      </c>
      <c r="AI97" s="642" t="str">
        <f t="shared" si="44"/>
        <v/>
      </c>
      <c r="AJ97" s="640" t="str">
        <f t="shared" si="44"/>
        <v/>
      </c>
      <c r="AK97" s="640" t="str">
        <f t="shared" si="44"/>
        <v/>
      </c>
      <c r="AL97" s="643">
        <f>SUM(G97:AH97)</f>
        <v>0</v>
      </c>
      <c r="AM97" s="644">
        <f>AL97/4</f>
        <v>0</v>
      </c>
      <c r="AN97" s="645" t="str">
        <f>IF(C96="","",C96)</f>
        <v/>
      </c>
      <c r="AO97" s="646" t="str">
        <f>IF(D96="","",D96)</f>
        <v/>
      </c>
      <c r="AP97" s="647" t="str">
        <f>IF(D96&lt;&gt;"",VLOOKUP(D96,$AU$2:$AV$6,2,FALSE),"")</f>
        <v/>
      </c>
      <c r="AQ97" s="644" t="e">
        <f>ROUNDDOWN(AL97/$AL$6,2)</f>
        <v>#DIV/0!</v>
      </c>
      <c r="AR97" s="644" t="e">
        <f>IF(AP97=1,"",AQ97)</f>
        <v>#DIV/0!</v>
      </c>
    </row>
    <row r="98" spans="1:44" ht="15.9" hidden="1" customHeight="1">
      <c r="A98" s="582"/>
      <c r="B98" s="1655" t="s">
        <v>1278</v>
      </c>
      <c r="C98" s="1640"/>
      <c r="D98" s="1642"/>
      <c r="E98" s="1644"/>
      <c r="F98" s="627" t="s">
        <v>1233</v>
      </c>
      <c r="G98" s="628"/>
      <c r="H98" s="629"/>
      <c r="I98" s="630"/>
      <c r="J98" s="630"/>
      <c r="K98" s="630"/>
      <c r="L98" s="630"/>
      <c r="M98" s="631"/>
      <c r="N98" s="628"/>
      <c r="O98" s="629"/>
      <c r="P98" s="630"/>
      <c r="Q98" s="630"/>
      <c r="R98" s="630"/>
      <c r="S98" s="630"/>
      <c r="T98" s="631"/>
      <c r="U98" s="628"/>
      <c r="V98" s="629"/>
      <c r="W98" s="630"/>
      <c r="X98" s="630"/>
      <c r="Y98" s="630"/>
      <c r="Z98" s="630"/>
      <c r="AA98" s="631"/>
      <c r="AB98" s="628"/>
      <c r="AC98" s="629"/>
      <c r="AD98" s="630"/>
      <c r="AE98" s="630"/>
      <c r="AF98" s="630"/>
      <c r="AG98" s="630"/>
      <c r="AH98" s="631"/>
      <c r="AI98" s="632"/>
      <c r="AJ98" s="630"/>
      <c r="AK98" s="630"/>
      <c r="AL98" s="633">
        <f>SUM(G99:AK99)</f>
        <v>0</v>
      </c>
      <c r="AM98" s="634"/>
      <c r="AN98" s="635"/>
      <c r="AO98" s="636"/>
      <c r="AP98" s="634"/>
      <c r="AQ98" s="637"/>
      <c r="AR98" s="637"/>
    </row>
    <row r="99" spans="1:44" ht="15.9" hidden="1" customHeight="1">
      <c r="A99" s="582"/>
      <c r="B99" s="1655"/>
      <c r="C99" s="1656"/>
      <c r="D99" s="1657"/>
      <c r="E99" s="1658"/>
      <c r="F99" s="638" t="s">
        <v>1234</v>
      </c>
      <c r="G99" s="639" t="str">
        <f t="shared" ref="G99:AK99" si="45">IF(G98&lt;&gt;"",VLOOKUP(G98,$AC$197:$AL$221,9,FALSE),"")</f>
        <v/>
      </c>
      <c r="H99" s="640" t="str">
        <f t="shared" si="45"/>
        <v/>
      </c>
      <c r="I99" s="640" t="str">
        <f t="shared" si="45"/>
        <v/>
      </c>
      <c r="J99" s="640" t="str">
        <f t="shared" si="45"/>
        <v/>
      </c>
      <c r="K99" s="640" t="str">
        <f t="shared" si="45"/>
        <v/>
      </c>
      <c r="L99" s="640" t="str">
        <f t="shared" si="45"/>
        <v/>
      </c>
      <c r="M99" s="641" t="str">
        <f t="shared" si="45"/>
        <v/>
      </c>
      <c r="N99" s="639" t="str">
        <f t="shared" si="45"/>
        <v/>
      </c>
      <c r="O99" s="640" t="str">
        <f t="shared" si="45"/>
        <v/>
      </c>
      <c r="P99" s="640" t="str">
        <f t="shared" si="45"/>
        <v/>
      </c>
      <c r="Q99" s="640" t="str">
        <f t="shared" si="45"/>
        <v/>
      </c>
      <c r="R99" s="640" t="str">
        <f t="shared" si="45"/>
        <v/>
      </c>
      <c r="S99" s="640" t="str">
        <f t="shared" si="45"/>
        <v/>
      </c>
      <c r="T99" s="641" t="str">
        <f t="shared" si="45"/>
        <v/>
      </c>
      <c r="U99" s="639" t="str">
        <f t="shared" si="45"/>
        <v/>
      </c>
      <c r="V99" s="640" t="str">
        <f t="shared" si="45"/>
        <v/>
      </c>
      <c r="W99" s="640" t="str">
        <f t="shared" si="45"/>
        <v/>
      </c>
      <c r="X99" s="640" t="str">
        <f t="shared" si="45"/>
        <v/>
      </c>
      <c r="Y99" s="640" t="str">
        <f t="shared" si="45"/>
        <v/>
      </c>
      <c r="Z99" s="640" t="str">
        <f t="shared" si="45"/>
        <v/>
      </c>
      <c r="AA99" s="641" t="str">
        <f t="shared" si="45"/>
        <v/>
      </c>
      <c r="AB99" s="639" t="str">
        <f t="shared" si="45"/>
        <v/>
      </c>
      <c r="AC99" s="640" t="str">
        <f t="shared" si="45"/>
        <v/>
      </c>
      <c r="AD99" s="640" t="str">
        <f t="shared" si="45"/>
        <v/>
      </c>
      <c r="AE99" s="640" t="str">
        <f t="shared" si="45"/>
        <v/>
      </c>
      <c r="AF99" s="640" t="str">
        <f t="shared" si="45"/>
        <v/>
      </c>
      <c r="AG99" s="640" t="str">
        <f t="shared" si="45"/>
        <v/>
      </c>
      <c r="AH99" s="641" t="str">
        <f t="shared" si="45"/>
        <v/>
      </c>
      <c r="AI99" s="642" t="str">
        <f t="shared" si="45"/>
        <v/>
      </c>
      <c r="AJ99" s="640" t="str">
        <f t="shared" si="45"/>
        <v/>
      </c>
      <c r="AK99" s="640" t="str">
        <f t="shared" si="45"/>
        <v/>
      </c>
      <c r="AL99" s="643">
        <f>SUM(G99:AH99)</f>
        <v>0</v>
      </c>
      <c r="AM99" s="644">
        <f>AL99/4</f>
        <v>0</v>
      </c>
      <c r="AN99" s="645" t="str">
        <f>IF(C98="","",C98)</f>
        <v/>
      </c>
      <c r="AO99" s="646" t="str">
        <f>IF(D98="","",D98)</f>
        <v/>
      </c>
      <c r="AP99" s="647" t="str">
        <f>IF(D98&lt;&gt;"",VLOOKUP(D98,$AU$2:$AV$6,2,FALSE),"")</f>
        <v/>
      </c>
      <c r="AQ99" s="644" t="e">
        <f>ROUNDDOWN(AL99/$AL$6,2)</f>
        <v>#DIV/0!</v>
      </c>
      <c r="AR99" s="644" t="e">
        <f>IF(AP99=1,"",AQ99)</f>
        <v>#DIV/0!</v>
      </c>
    </row>
    <row r="100" spans="1:44" ht="15.9" hidden="1" customHeight="1">
      <c r="A100" s="582"/>
      <c r="B100" s="1655" t="s">
        <v>1279</v>
      </c>
      <c r="C100" s="1640"/>
      <c r="D100" s="1642"/>
      <c r="E100" s="1644"/>
      <c r="F100" s="627" t="s">
        <v>1233</v>
      </c>
      <c r="G100" s="628"/>
      <c r="H100" s="629"/>
      <c r="I100" s="630"/>
      <c r="J100" s="630"/>
      <c r="K100" s="630"/>
      <c r="L100" s="630"/>
      <c r="M100" s="631"/>
      <c r="N100" s="628"/>
      <c r="O100" s="629"/>
      <c r="P100" s="630"/>
      <c r="Q100" s="630"/>
      <c r="R100" s="630"/>
      <c r="S100" s="630"/>
      <c r="T100" s="631"/>
      <c r="U100" s="628"/>
      <c r="V100" s="629"/>
      <c r="W100" s="630"/>
      <c r="X100" s="630"/>
      <c r="Y100" s="630"/>
      <c r="Z100" s="630"/>
      <c r="AA100" s="631"/>
      <c r="AB100" s="628"/>
      <c r="AC100" s="629"/>
      <c r="AD100" s="630"/>
      <c r="AE100" s="630"/>
      <c r="AF100" s="630"/>
      <c r="AG100" s="630"/>
      <c r="AH100" s="631"/>
      <c r="AI100" s="632"/>
      <c r="AJ100" s="630"/>
      <c r="AK100" s="630"/>
      <c r="AL100" s="633">
        <f>SUM(G101:AK101)</f>
        <v>0</v>
      </c>
      <c r="AM100" s="634"/>
      <c r="AN100" s="635"/>
      <c r="AO100" s="636"/>
      <c r="AP100" s="634"/>
      <c r="AQ100" s="637"/>
      <c r="AR100" s="637"/>
    </row>
    <row r="101" spans="1:44" ht="15.9" hidden="1" customHeight="1">
      <c r="A101" s="582"/>
      <c r="B101" s="1655"/>
      <c r="C101" s="1656"/>
      <c r="D101" s="1657"/>
      <c r="E101" s="1658"/>
      <c r="F101" s="638" t="s">
        <v>1234</v>
      </c>
      <c r="G101" s="639" t="str">
        <f t="shared" ref="G101:AK101" si="46">IF(G100&lt;&gt;"",VLOOKUP(G100,$AC$197:$AL$221,9,FALSE),"")</f>
        <v/>
      </c>
      <c r="H101" s="640" t="str">
        <f t="shared" si="46"/>
        <v/>
      </c>
      <c r="I101" s="640" t="str">
        <f t="shared" si="46"/>
        <v/>
      </c>
      <c r="J101" s="640" t="str">
        <f t="shared" si="46"/>
        <v/>
      </c>
      <c r="K101" s="640" t="str">
        <f t="shared" si="46"/>
        <v/>
      </c>
      <c r="L101" s="640" t="str">
        <f t="shared" si="46"/>
        <v/>
      </c>
      <c r="M101" s="641" t="str">
        <f t="shared" si="46"/>
        <v/>
      </c>
      <c r="N101" s="639" t="str">
        <f t="shared" si="46"/>
        <v/>
      </c>
      <c r="O101" s="640" t="str">
        <f t="shared" si="46"/>
        <v/>
      </c>
      <c r="P101" s="640" t="str">
        <f t="shared" si="46"/>
        <v/>
      </c>
      <c r="Q101" s="640" t="str">
        <f t="shared" si="46"/>
        <v/>
      </c>
      <c r="R101" s="640" t="str">
        <f t="shared" si="46"/>
        <v/>
      </c>
      <c r="S101" s="640" t="str">
        <f t="shared" si="46"/>
        <v/>
      </c>
      <c r="T101" s="641" t="str">
        <f t="shared" si="46"/>
        <v/>
      </c>
      <c r="U101" s="639" t="str">
        <f t="shared" si="46"/>
        <v/>
      </c>
      <c r="V101" s="640" t="str">
        <f t="shared" si="46"/>
        <v/>
      </c>
      <c r="W101" s="640" t="str">
        <f t="shared" si="46"/>
        <v/>
      </c>
      <c r="X101" s="640" t="str">
        <f t="shared" si="46"/>
        <v/>
      </c>
      <c r="Y101" s="640" t="str">
        <f t="shared" si="46"/>
        <v/>
      </c>
      <c r="Z101" s="640" t="str">
        <f t="shared" si="46"/>
        <v/>
      </c>
      <c r="AA101" s="641" t="str">
        <f t="shared" si="46"/>
        <v/>
      </c>
      <c r="AB101" s="639" t="str">
        <f t="shared" si="46"/>
        <v/>
      </c>
      <c r="AC101" s="640" t="str">
        <f t="shared" si="46"/>
        <v/>
      </c>
      <c r="AD101" s="640" t="str">
        <f t="shared" si="46"/>
        <v/>
      </c>
      <c r="AE101" s="640" t="str">
        <f t="shared" si="46"/>
        <v/>
      </c>
      <c r="AF101" s="640" t="str">
        <f t="shared" si="46"/>
        <v/>
      </c>
      <c r="AG101" s="640" t="str">
        <f t="shared" si="46"/>
        <v/>
      </c>
      <c r="AH101" s="641" t="str">
        <f t="shared" si="46"/>
        <v/>
      </c>
      <c r="AI101" s="642" t="str">
        <f t="shared" si="46"/>
        <v/>
      </c>
      <c r="AJ101" s="640" t="str">
        <f t="shared" si="46"/>
        <v/>
      </c>
      <c r="AK101" s="640" t="str">
        <f t="shared" si="46"/>
        <v/>
      </c>
      <c r="AL101" s="643">
        <f>SUM(G101:AH101)</f>
        <v>0</v>
      </c>
      <c r="AM101" s="644">
        <f>AL101/4</f>
        <v>0</v>
      </c>
      <c r="AN101" s="645" t="str">
        <f>IF(C100="","",C100)</f>
        <v/>
      </c>
      <c r="AO101" s="646" t="str">
        <f>IF(D100="","",D100)</f>
        <v/>
      </c>
      <c r="AP101" s="647" t="str">
        <f>IF(D100&lt;&gt;"",VLOOKUP(D100,$AU$2:$AV$6,2,FALSE),"")</f>
        <v/>
      </c>
      <c r="AQ101" s="644" t="e">
        <f>ROUNDDOWN(AL101/$AL$6,2)</f>
        <v>#DIV/0!</v>
      </c>
      <c r="AR101" s="644" t="e">
        <f>IF(AP101=1,"",AQ101)</f>
        <v>#DIV/0!</v>
      </c>
    </row>
    <row r="102" spans="1:44" ht="15.9" hidden="1" customHeight="1">
      <c r="A102" s="582"/>
      <c r="B102" s="1655" t="s">
        <v>1280</v>
      </c>
      <c r="C102" s="1640"/>
      <c r="D102" s="1642"/>
      <c r="E102" s="1644"/>
      <c r="F102" s="627" t="s">
        <v>1233</v>
      </c>
      <c r="G102" s="628"/>
      <c r="H102" s="629"/>
      <c r="I102" s="630"/>
      <c r="J102" s="630"/>
      <c r="K102" s="630"/>
      <c r="L102" s="630"/>
      <c r="M102" s="631"/>
      <c r="N102" s="628"/>
      <c r="O102" s="629"/>
      <c r="P102" s="630"/>
      <c r="Q102" s="630"/>
      <c r="R102" s="630"/>
      <c r="S102" s="630"/>
      <c r="T102" s="631"/>
      <c r="U102" s="628"/>
      <c r="V102" s="629"/>
      <c r="W102" s="630"/>
      <c r="X102" s="630"/>
      <c r="Y102" s="630"/>
      <c r="Z102" s="630"/>
      <c r="AA102" s="631"/>
      <c r="AB102" s="628"/>
      <c r="AC102" s="629"/>
      <c r="AD102" s="630"/>
      <c r="AE102" s="630"/>
      <c r="AF102" s="630"/>
      <c r="AG102" s="630"/>
      <c r="AH102" s="631"/>
      <c r="AI102" s="648"/>
      <c r="AJ102" s="629"/>
      <c r="AK102" s="629"/>
      <c r="AL102" s="633">
        <f>SUM(G103:AK103)</f>
        <v>0</v>
      </c>
      <c r="AM102" s="634"/>
      <c r="AN102" s="635"/>
      <c r="AO102" s="636"/>
      <c r="AP102" s="634"/>
      <c r="AQ102" s="637"/>
      <c r="AR102" s="637"/>
    </row>
    <row r="103" spans="1:44" ht="15.9" hidden="1" customHeight="1">
      <c r="A103" s="582"/>
      <c r="B103" s="1655"/>
      <c r="C103" s="1656"/>
      <c r="D103" s="1657"/>
      <c r="E103" s="1658"/>
      <c r="F103" s="638" t="s">
        <v>1234</v>
      </c>
      <c r="G103" s="639" t="str">
        <f t="shared" ref="G103:AK103" si="47">IF(G102&lt;&gt;"",VLOOKUP(G102,$AC$197:$AL$221,9,FALSE),"")</f>
        <v/>
      </c>
      <c r="H103" s="640" t="str">
        <f t="shared" si="47"/>
        <v/>
      </c>
      <c r="I103" s="640" t="str">
        <f t="shared" si="47"/>
        <v/>
      </c>
      <c r="J103" s="640" t="str">
        <f t="shared" si="47"/>
        <v/>
      </c>
      <c r="K103" s="640" t="str">
        <f t="shared" si="47"/>
        <v/>
      </c>
      <c r="L103" s="640" t="str">
        <f t="shared" si="47"/>
        <v/>
      </c>
      <c r="M103" s="641" t="str">
        <f t="shared" si="47"/>
        <v/>
      </c>
      <c r="N103" s="639" t="str">
        <f t="shared" si="47"/>
        <v/>
      </c>
      <c r="O103" s="640" t="str">
        <f t="shared" si="47"/>
        <v/>
      </c>
      <c r="P103" s="640" t="str">
        <f t="shared" si="47"/>
        <v/>
      </c>
      <c r="Q103" s="640" t="str">
        <f t="shared" si="47"/>
        <v/>
      </c>
      <c r="R103" s="640" t="str">
        <f t="shared" si="47"/>
        <v/>
      </c>
      <c r="S103" s="640" t="str">
        <f t="shared" si="47"/>
        <v/>
      </c>
      <c r="T103" s="641" t="str">
        <f t="shared" si="47"/>
        <v/>
      </c>
      <c r="U103" s="639" t="str">
        <f t="shared" si="47"/>
        <v/>
      </c>
      <c r="V103" s="640" t="str">
        <f t="shared" si="47"/>
        <v/>
      </c>
      <c r="W103" s="640" t="str">
        <f t="shared" si="47"/>
        <v/>
      </c>
      <c r="X103" s="640" t="str">
        <f t="shared" si="47"/>
        <v/>
      </c>
      <c r="Y103" s="640" t="str">
        <f t="shared" si="47"/>
        <v/>
      </c>
      <c r="Z103" s="640" t="str">
        <f t="shared" si="47"/>
        <v/>
      </c>
      <c r="AA103" s="641" t="str">
        <f t="shared" si="47"/>
        <v/>
      </c>
      <c r="AB103" s="639" t="str">
        <f t="shared" si="47"/>
        <v/>
      </c>
      <c r="AC103" s="640" t="str">
        <f t="shared" si="47"/>
        <v/>
      </c>
      <c r="AD103" s="640" t="str">
        <f t="shared" si="47"/>
        <v/>
      </c>
      <c r="AE103" s="640" t="str">
        <f t="shared" si="47"/>
        <v/>
      </c>
      <c r="AF103" s="640" t="str">
        <f t="shared" si="47"/>
        <v/>
      </c>
      <c r="AG103" s="640" t="str">
        <f t="shared" si="47"/>
        <v/>
      </c>
      <c r="AH103" s="641" t="str">
        <f t="shared" si="47"/>
        <v/>
      </c>
      <c r="AI103" s="642" t="str">
        <f t="shared" si="47"/>
        <v/>
      </c>
      <c r="AJ103" s="640" t="str">
        <f t="shared" si="47"/>
        <v/>
      </c>
      <c r="AK103" s="640" t="str">
        <f t="shared" si="47"/>
        <v/>
      </c>
      <c r="AL103" s="643">
        <f>SUM(G103:AH103)</f>
        <v>0</v>
      </c>
      <c r="AM103" s="644">
        <f>AL103/4</f>
        <v>0</v>
      </c>
      <c r="AN103" s="645" t="str">
        <f>IF(C102="","",C102)</f>
        <v/>
      </c>
      <c r="AO103" s="646" t="str">
        <f>IF(D102="","",D102)</f>
        <v/>
      </c>
      <c r="AP103" s="647" t="str">
        <f>IF(D102&lt;&gt;"",VLOOKUP(D102,$AU$2:$AV$6,2,FALSE),"")</f>
        <v/>
      </c>
      <c r="AQ103" s="644" t="e">
        <f>ROUNDDOWN(AL103/$AL$6,2)</f>
        <v>#DIV/0!</v>
      </c>
      <c r="AR103" s="644" t="e">
        <f>IF(AP103=1,"",AQ103)</f>
        <v>#DIV/0!</v>
      </c>
    </row>
    <row r="104" spans="1:44" ht="15.9" hidden="1" customHeight="1">
      <c r="A104" s="582"/>
      <c r="B104" s="1655" t="s">
        <v>1281</v>
      </c>
      <c r="C104" s="1640"/>
      <c r="D104" s="1642"/>
      <c r="E104" s="1644"/>
      <c r="F104" s="627" t="s">
        <v>1233</v>
      </c>
      <c r="G104" s="628"/>
      <c r="H104" s="629"/>
      <c r="I104" s="630"/>
      <c r="J104" s="630"/>
      <c r="K104" s="630"/>
      <c r="L104" s="630"/>
      <c r="M104" s="631"/>
      <c r="N104" s="628"/>
      <c r="O104" s="629"/>
      <c r="P104" s="630"/>
      <c r="Q104" s="630"/>
      <c r="R104" s="630"/>
      <c r="S104" s="630"/>
      <c r="T104" s="631"/>
      <c r="U104" s="628"/>
      <c r="V104" s="629"/>
      <c r="W104" s="630"/>
      <c r="X104" s="630"/>
      <c r="Y104" s="630"/>
      <c r="Z104" s="630"/>
      <c r="AA104" s="631"/>
      <c r="AB104" s="628"/>
      <c r="AC104" s="629"/>
      <c r="AD104" s="630"/>
      <c r="AE104" s="630"/>
      <c r="AF104" s="630"/>
      <c r="AG104" s="630"/>
      <c r="AH104" s="631"/>
      <c r="AI104" s="648"/>
      <c r="AJ104" s="629"/>
      <c r="AK104" s="629"/>
      <c r="AL104" s="633">
        <f>SUM(G105:AK105)</f>
        <v>0</v>
      </c>
      <c r="AM104" s="634"/>
      <c r="AN104" s="635"/>
      <c r="AO104" s="636"/>
      <c r="AP104" s="634"/>
      <c r="AQ104" s="637"/>
      <c r="AR104" s="637"/>
    </row>
    <row r="105" spans="1:44" ht="15.9" hidden="1" customHeight="1">
      <c r="A105" s="582"/>
      <c r="B105" s="1655"/>
      <c r="C105" s="1656"/>
      <c r="D105" s="1657"/>
      <c r="E105" s="1658"/>
      <c r="F105" s="638" t="s">
        <v>1234</v>
      </c>
      <c r="G105" s="639" t="str">
        <f t="shared" ref="G105:AK105" si="48">IF(G104&lt;&gt;"",VLOOKUP(G104,$AC$197:$AL$221,9,FALSE),"")</f>
        <v/>
      </c>
      <c r="H105" s="640" t="str">
        <f t="shared" si="48"/>
        <v/>
      </c>
      <c r="I105" s="640" t="str">
        <f t="shared" si="48"/>
        <v/>
      </c>
      <c r="J105" s="640" t="str">
        <f t="shared" si="48"/>
        <v/>
      </c>
      <c r="K105" s="640" t="str">
        <f t="shared" si="48"/>
        <v/>
      </c>
      <c r="L105" s="640" t="str">
        <f t="shared" si="48"/>
        <v/>
      </c>
      <c r="M105" s="641" t="str">
        <f t="shared" si="48"/>
        <v/>
      </c>
      <c r="N105" s="639" t="str">
        <f t="shared" si="48"/>
        <v/>
      </c>
      <c r="O105" s="640" t="str">
        <f t="shared" si="48"/>
        <v/>
      </c>
      <c r="P105" s="640" t="str">
        <f t="shared" si="48"/>
        <v/>
      </c>
      <c r="Q105" s="640" t="str">
        <f t="shared" si="48"/>
        <v/>
      </c>
      <c r="R105" s="640" t="str">
        <f t="shared" si="48"/>
        <v/>
      </c>
      <c r="S105" s="640" t="str">
        <f t="shared" si="48"/>
        <v/>
      </c>
      <c r="T105" s="641" t="str">
        <f t="shared" si="48"/>
        <v/>
      </c>
      <c r="U105" s="639" t="str">
        <f t="shared" si="48"/>
        <v/>
      </c>
      <c r="V105" s="640" t="str">
        <f t="shared" si="48"/>
        <v/>
      </c>
      <c r="W105" s="640" t="str">
        <f t="shared" si="48"/>
        <v/>
      </c>
      <c r="X105" s="640" t="str">
        <f t="shared" si="48"/>
        <v/>
      </c>
      <c r="Y105" s="640" t="str">
        <f t="shared" si="48"/>
        <v/>
      </c>
      <c r="Z105" s="640" t="str">
        <f t="shared" si="48"/>
        <v/>
      </c>
      <c r="AA105" s="641" t="str">
        <f t="shared" si="48"/>
        <v/>
      </c>
      <c r="AB105" s="639" t="str">
        <f t="shared" si="48"/>
        <v/>
      </c>
      <c r="AC105" s="640" t="str">
        <f t="shared" si="48"/>
        <v/>
      </c>
      <c r="AD105" s="640" t="str">
        <f t="shared" si="48"/>
        <v/>
      </c>
      <c r="AE105" s="640" t="str">
        <f t="shared" si="48"/>
        <v/>
      </c>
      <c r="AF105" s="640" t="str">
        <f t="shared" si="48"/>
        <v/>
      </c>
      <c r="AG105" s="640" t="str">
        <f t="shared" si="48"/>
        <v/>
      </c>
      <c r="AH105" s="641" t="str">
        <f t="shared" si="48"/>
        <v/>
      </c>
      <c r="AI105" s="642" t="str">
        <f t="shared" si="48"/>
        <v/>
      </c>
      <c r="AJ105" s="640" t="str">
        <f t="shared" si="48"/>
        <v/>
      </c>
      <c r="AK105" s="640" t="str">
        <f t="shared" si="48"/>
        <v/>
      </c>
      <c r="AL105" s="643">
        <f>SUM(G105:AH105)</f>
        <v>0</v>
      </c>
      <c r="AM105" s="644">
        <f>AL105/4</f>
        <v>0</v>
      </c>
      <c r="AN105" s="645" t="str">
        <f>IF(C104="","",C104)</f>
        <v/>
      </c>
      <c r="AO105" s="646" t="str">
        <f>IF(D104="","",D104)</f>
        <v/>
      </c>
      <c r="AP105" s="647" t="str">
        <f>IF(D104&lt;&gt;"",VLOOKUP(D104,$AU$2:$AV$6,2,FALSE),"")</f>
        <v/>
      </c>
      <c r="AQ105" s="644" t="e">
        <f>ROUNDDOWN(AL105/$AL$6,2)</f>
        <v>#DIV/0!</v>
      </c>
      <c r="AR105" s="644" t="e">
        <f>IF(AP105=1,"",AQ105)</f>
        <v>#DIV/0!</v>
      </c>
    </row>
    <row r="106" spans="1:44" ht="15.9" hidden="1" customHeight="1">
      <c r="A106" s="582"/>
      <c r="B106" s="1655" t="s">
        <v>1282</v>
      </c>
      <c r="C106" s="1640"/>
      <c r="D106" s="1642"/>
      <c r="E106" s="1644"/>
      <c r="F106" s="627" t="s">
        <v>1233</v>
      </c>
      <c r="G106" s="628"/>
      <c r="H106" s="629"/>
      <c r="I106" s="630"/>
      <c r="J106" s="630"/>
      <c r="K106" s="630"/>
      <c r="L106" s="630"/>
      <c r="M106" s="631"/>
      <c r="N106" s="628"/>
      <c r="O106" s="629"/>
      <c r="P106" s="630"/>
      <c r="Q106" s="630"/>
      <c r="R106" s="630"/>
      <c r="S106" s="630"/>
      <c r="T106" s="631"/>
      <c r="U106" s="628"/>
      <c r="V106" s="629"/>
      <c r="W106" s="630"/>
      <c r="X106" s="630"/>
      <c r="Y106" s="630"/>
      <c r="Z106" s="630"/>
      <c r="AA106" s="631"/>
      <c r="AB106" s="628"/>
      <c r="AC106" s="629"/>
      <c r="AD106" s="630"/>
      <c r="AE106" s="630"/>
      <c r="AF106" s="630"/>
      <c r="AG106" s="630"/>
      <c r="AH106" s="631"/>
      <c r="AI106" s="632"/>
      <c r="AJ106" s="630"/>
      <c r="AK106" s="630"/>
      <c r="AL106" s="633">
        <f>SUM(G107:AK107)</f>
        <v>0</v>
      </c>
      <c r="AM106" s="634"/>
      <c r="AN106" s="635"/>
      <c r="AO106" s="636"/>
      <c r="AP106" s="634"/>
      <c r="AQ106" s="637"/>
      <c r="AR106" s="637"/>
    </row>
    <row r="107" spans="1:44" ht="15.9" hidden="1" customHeight="1">
      <c r="A107" s="582"/>
      <c r="B107" s="1655"/>
      <c r="C107" s="1656"/>
      <c r="D107" s="1657"/>
      <c r="E107" s="1658"/>
      <c r="F107" s="638" t="s">
        <v>1234</v>
      </c>
      <c r="G107" s="639" t="str">
        <f t="shared" ref="G107:AK107" si="49">IF(G106&lt;&gt;"",VLOOKUP(G106,$AC$197:$AL$221,9,FALSE),"")</f>
        <v/>
      </c>
      <c r="H107" s="640" t="str">
        <f t="shared" si="49"/>
        <v/>
      </c>
      <c r="I107" s="640" t="str">
        <f t="shared" si="49"/>
        <v/>
      </c>
      <c r="J107" s="640" t="str">
        <f t="shared" si="49"/>
        <v/>
      </c>
      <c r="K107" s="640" t="str">
        <f t="shared" si="49"/>
        <v/>
      </c>
      <c r="L107" s="640" t="str">
        <f t="shared" si="49"/>
        <v/>
      </c>
      <c r="M107" s="641" t="str">
        <f t="shared" si="49"/>
        <v/>
      </c>
      <c r="N107" s="639" t="str">
        <f t="shared" si="49"/>
        <v/>
      </c>
      <c r="O107" s="640" t="str">
        <f t="shared" si="49"/>
        <v/>
      </c>
      <c r="P107" s="640" t="str">
        <f t="shared" si="49"/>
        <v/>
      </c>
      <c r="Q107" s="640" t="str">
        <f t="shared" si="49"/>
        <v/>
      </c>
      <c r="R107" s="640" t="str">
        <f t="shared" si="49"/>
        <v/>
      </c>
      <c r="S107" s="640" t="str">
        <f t="shared" si="49"/>
        <v/>
      </c>
      <c r="T107" s="641" t="str">
        <f t="shared" si="49"/>
        <v/>
      </c>
      <c r="U107" s="639" t="str">
        <f t="shared" si="49"/>
        <v/>
      </c>
      <c r="V107" s="640" t="str">
        <f t="shared" si="49"/>
        <v/>
      </c>
      <c r="W107" s="640" t="str">
        <f t="shared" si="49"/>
        <v/>
      </c>
      <c r="X107" s="640" t="str">
        <f t="shared" si="49"/>
        <v/>
      </c>
      <c r="Y107" s="640" t="str">
        <f t="shared" si="49"/>
        <v/>
      </c>
      <c r="Z107" s="640" t="str">
        <f t="shared" si="49"/>
        <v/>
      </c>
      <c r="AA107" s="641" t="str">
        <f t="shared" si="49"/>
        <v/>
      </c>
      <c r="AB107" s="639" t="str">
        <f t="shared" si="49"/>
        <v/>
      </c>
      <c r="AC107" s="640" t="str">
        <f t="shared" si="49"/>
        <v/>
      </c>
      <c r="AD107" s="640" t="str">
        <f t="shared" si="49"/>
        <v/>
      </c>
      <c r="AE107" s="640" t="str">
        <f t="shared" si="49"/>
        <v/>
      </c>
      <c r="AF107" s="640" t="str">
        <f t="shared" si="49"/>
        <v/>
      </c>
      <c r="AG107" s="640" t="str">
        <f t="shared" si="49"/>
        <v/>
      </c>
      <c r="AH107" s="641" t="str">
        <f t="shared" si="49"/>
        <v/>
      </c>
      <c r="AI107" s="642" t="str">
        <f t="shared" si="49"/>
        <v/>
      </c>
      <c r="AJ107" s="640" t="str">
        <f t="shared" si="49"/>
        <v/>
      </c>
      <c r="AK107" s="640" t="str">
        <f t="shared" si="49"/>
        <v/>
      </c>
      <c r="AL107" s="643">
        <f>SUM(G107:AH107)</f>
        <v>0</v>
      </c>
      <c r="AM107" s="644">
        <f>AL107/4</f>
        <v>0</v>
      </c>
      <c r="AN107" s="645" t="str">
        <f>IF(C106="","",C106)</f>
        <v/>
      </c>
      <c r="AO107" s="646" t="str">
        <f>IF(D106="","",D106)</f>
        <v/>
      </c>
      <c r="AP107" s="647" t="str">
        <f>IF(D106&lt;&gt;"",VLOOKUP(D106,$AU$2:$AV$6,2,FALSE),"")</f>
        <v/>
      </c>
      <c r="AQ107" s="644" t="e">
        <f>ROUNDDOWN(AL107/$AL$6,2)</f>
        <v>#DIV/0!</v>
      </c>
      <c r="AR107" s="644" t="e">
        <f>IF(AP107=1,"",AQ107)</f>
        <v>#DIV/0!</v>
      </c>
    </row>
    <row r="108" spans="1:44" ht="15.9" hidden="1" customHeight="1">
      <c r="A108" s="582"/>
      <c r="B108" s="1655" t="s">
        <v>1283</v>
      </c>
      <c r="C108" s="1640"/>
      <c r="D108" s="1642"/>
      <c r="E108" s="1644"/>
      <c r="F108" s="627" t="s">
        <v>1233</v>
      </c>
      <c r="G108" s="628"/>
      <c r="H108" s="629"/>
      <c r="I108" s="630"/>
      <c r="J108" s="630"/>
      <c r="K108" s="630"/>
      <c r="L108" s="630"/>
      <c r="M108" s="631"/>
      <c r="N108" s="628"/>
      <c r="O108" s="629"/>
      <c r="P108" s="630"/>
      <c r="Q108" s="630"/>
      <c r="R108" s="630"/>
      <c r="S108" s="630"/>
      <c r="T108" s="631"/>
      <c r="U108" s="628"/>
      <c r="V108" s="629"/>
      <c r="W108" s="630"/>
      <c r="X108" s="630"/>
      <c r="Y108" s="630"/>
      <c r="Z108" s="630"/>
      <c r="AA108" s="631"/>
      <c r="AB108" s="628"/>
      <c r="AC108" s="629"/>
      <c r="AD108" s="630"/>
      <c r="AE108" s="630"/>
      <c r="AF108" s="630"/>
      <c r="AG108" s="630"/>
      <c r="AH108" s="631"/>
      <c r="AI108" s="632"/>
      <c r="AJ108" s="630"/>
      <c r="AK108" s="630"/>
      <c r="AL108" s="633">
        <f>SUM(G109:AK109)</f>
        <v>0</v>
      </c>
      <c r="AM108" s="634"/>
      <c r="AN108" s="635"/>
      <c r="AO108" s="636"/>
      <c r="AP108" s="634"/>
      <c r="AQ108" s="637"/>
      <c r="AR108" s="637"/>
    </row>
    <row r="109" spans="1:44" ht="15.9" hidden="1" customHeight="1">
      <c r="A109" s="582"/>
      <c r="B109" s="1655"/>
      <c r="C109" s="1656"/>
      <c r="D109" s="1657"/>
      <c r="E109" s="1658"/>
      <c r="F109" s="638" t="s">
        <v>1234</v>
      </c>
      <c r="G109" s="639" t="str">
        <f t="shared" ref="G109:AK109" si="50">IF(G108&lt;&gt;"",VLOOKUP(G108,$AC$197:$AL$221,9,FALSE),"")</f>
        <v/>
      </c>
      <c r="H109" s="640" t="str">
        <f t="shared" si="50"/>
        <v/>
      </c>
      <c r="I109" s="640" t="str">
        <f t="shared" si="50"/>
        <v/>
      </c>
      <c r="J109" s="640" t="str">
        <f t="shared" si="50"/>
        <v/>
      </c>
      <c r="K109" s="640" t="str">
        <f t="shared" si="50"/>
        <v/>
      </c>
      <c r="L109" s="640" t="str">
        <f t="shared" si="50"/>
        <v/>
      </c>
      <c r="M109" s="641" t="str">
        <f t="shared" si="50"/>
        <v/>
      </c>
      <c r="N109" s="639" t="str">
        <f t="shared" si="50"/>
        <v/>
      </c>
      <c r="O109" s="640" t="str">
        <f t="shared" si="50"/>
        <v/>
      </c>
      <c r="P109" s="640" t="str">
        <f t="shared" si="50"/>
        <v/>
      </c>
      <c r="Q109" s="640" t="str">
        <f t="shared" si="50"/>
        <v/>
      </c>
      <c r="R109" s="640" t="str">
        <f t="shared" si="50"/>
        <v/>
      </c>
      <c r="S109" s="640" t="str">
        <f t="shared" si="50"/>
        <v/>
      </c>
      <c r="T109" s="641" t="str">
        <f t="shared" si="50"/>
        <v/>
      </c>
      <c r="U109" s="639" t="str">
        <f t="shared" si="50"/>
        <v/>
      </c>
      <c r="V109" s="640" t="str">
        <f t="shared" si="50"/>
        <v/>
      </c>
      <c r="W109" s="640" t="str">
        <f t="shared" si="50"/>
        <v/>
      </c>
      <c r="X109" s="640" t="str">
        <f t="shared" si="50"/>
        <v/>
      </c>
      <c r="Y109" s="640" t="str">
        <f t="shared" si="50"/>
        <v/>
      </c>
      <c r="Z109" s="640" t="str">
        <f t="shared" si="50"/>
        <v/>
      </c>
      <c r="AA109" s="641" t="str">
        <f t="shared" si="50"/>
        <v/>
      </c>
      <c r="AB109" s="639" t="str">
        <f t="shared" si="50"/>
        <v/>
      </c>
      <c r="AC109" s="640" t="str">
        <f t="shared" si="50"/>
        <v/>
      </c>
      <c r="AD109" s="640" t="str">
        <f t="shared" si="50"/>
        <v/>
      </c>
      <c r="AE109" s="640" t="str">
        <f t="shared" si="50"/>
        <v/>
      </c>
      <c r="AF109" s="640" t="str">
        <f t="shared" si="50"/>
        <v/>
      </c>
      <c r="AG109" s="640" t="str">
        <f t="shared" si="50"/>
        <v/>
      </c>
      <c r="AH109" s="641" t="str">
        <f t="shared" si="50"/>
        <v/>
      </c>
      <c r="AI109" s="642" t="str">
        <f t="shared" si="50"/>
        <v/>
      </c>
      <c r="AJ109" s="640" t="str">
        <f t="shared" si="50"/>
        <v/>
      </c>
      <c r="AK109" s="640" t="str">
        <f t="shared" si="50"/>
        <v/>
      </c>
      <c r="AL109" s="643">
        <f>SUM(G109:AH109)</f>
        <v>0</v>
      </c>
      <c r="AM109" s="644">
        <f>AL109/4</f>
        <v>0</v>
      </c>
      <c r="AN109" s="645" t="str">
        <f>IF(C108="","",C108)</f>
        <v/>
      </c>
      <c r="AO109" s="646" t="str">
        <f>IF(D108="","",D108)</f>
        <v/>
      </c>
      <c r="AP109" s="647" t="str">
        <f>IF(D108&lt;&gt;"",VLOOKUP(D108,$AU$2:$AV$6,2,FALSE),"")</f>
        <v/>
      </c>
      <c r="AQ109" s="644" t="e">
        <f>ROUNDDOWN(AL109/$AL$6,2)</f>
        <v>#DIV/0!</v>
      </c>
      <c r="AR109" s="644" t="e">
        <f>IF(AP109=1,"",AQ109)</f>
        <v>#DIV/0!</v>
      </c>
    </row>
    <row r="110" spans="1:44" ht="15.9" hidden="1" customHeight="1">
      <c r="A110" s="582"/>
      <c r="B110" s="1655" t="s">
        <v>1284</v>
      </c>
      <c r="C110" s="1640"/>
      <c r="D110" s="1642"/>
      <c r="E110" s="1644"/>
      <c r="F110" s="627" t="s">
        <v>1233</v>
      </c>
      <c r="G110" s="628"/>
      <c r="H110" s="629"/>
      <c r="I110" s="630"/>
      <c r="J110" s="630"/>
      <c r="K110" s="630"/>
      <c r="L110" s="630"/>
      <c r="M110" s="631"/>
      <c r="N110" s="628"/>
      <c r="O110" s="629"/>
      <c r="P110" s="630"/>
      <c r="Q110" s="630"/>
      <c r="R110" s="630"/>
      <c r="S110" s="630"/>
      <c r="T110" s="631"/>
      <c r="U110" s="628"/>
      <c r="V110" s="629"/>
      <c r="W110" s="630"/>
      <c r="X110" s="630"/>
      <c r="Y110" s="630"/>
      <c r="Z110" s="630"/>
      <c r="AA110" s="631"/>
      <c r="AB110" s="628"/>
      <c r="AC110" s="629"/>
      <c r="AD110" s="630"/>
      <c r="AE110" s="630"/>
      <c r="AF110" s="630"/>
      <c r="AG110" s="630"/>
      <c r="AH110" s="631"/>
      <c r="AI110" s="648"/>
      <c r="AJ110" s="629"/>
      <c r="AK110" s="629"/>
      <c r="AL110" s="633">
        <f>SUM(G111:AK111)</f>
        <v>0</v>
      </c>
      <c r="AM110" s="634"/>
      <c r="AN110" s="635"/>
      <c r="AO110" s="636"/>
      <c r="AP110" s="634"/>
      <c r="AQ110" s="637"/>
      <c r="AR110" s="637"/>
    </row>
    <row r="111" spans="1:44" ht="15.9" hidden="1" customHeight="1">
      <c r="A111" s="582"/>
      <c r="B111" s="1655"/>
      <c r="C111" s="1656"/>
      <c r="D111" s="1657"/>
      <c r="E111" s="1658"/>
      <c r="F111" s="638" t="s">
        <v>1234</v>
      </c>
      <c r="G111" s="639" t="str">
        <f t="shared" ref="G111:AK111" si="51">IF(G110&lt;&gt;"",VLOOKUP(G110,$AC$197:$AL$221,9,FALSE),"")</f>
        <v/>
      </c>
      <c r="H111" s="640" t="str">
        <f t="shared" si="51"/>
        <v/>
      </c>
      <c r="I111" s="640" t="str">
        <f t="shared" si="51"/>
        <v/>
      </c>
      <c r="J111" s="640" t="str">
        <f t="shared" si="51"/>
        <v/>
      </c>
      <c r="K111" s="640" t="str">
        <f t="shared" si="51"/>
        <v/>
      </c>
      <c r="L111" s="640" t="str">
        <f t="shared" si="51"/>
        <v/>
      </c>
      <c r="M111" s="641" t="str">
        <f t="shared" si="51"/>
        <v/>
      </c>
      <c r="N111" s="639" t="str">
        <f t="shared" si="51"/>
        <v/>
      </c>
      <c r="O111" s="640" t="str">
        <f t="shared" si="51"/>
        <v/>
      </c>
      <c r="P111" s="640" t="str">
        <f t="shared" si="51"/>
        <v/>
      </c>
      <c r="Q111" s="640" t="str">
        <f t="shared" si="51"/>
        <v/>
      </c>
      <c r="R111" s="640" t="str">
        <f t="shared" si="51"/>
        <v/>
      </c>
      <c r="S111" s="640" t="str">
        <f t="shared" si="51"/>
        <v/>
      </c>
      <c r="T111" s="641" t="str">
        <f t="shared" si="51"/>
        <v/>
      </c>
      <c r="U111" s="639" t="str">
        <f t="shared" si="51"/>
        <v/>
      </c>
      <c r="V111" s="640" t="str">
        <f t="shared" si="51"/>
        <v/>
      </c>
      <c r="W111" s="640" t="str">
        <f t="shared" si="51"/>
        <v/>
      </c>
      <c r="X111" s="640" t="str">
        <f t="shared" si="51"/>
        <v/>
      </c>
      <c r="Y111" s="640" t="str">
        <f t="shared" si="51"/>
        <v/>
      </c>
      <c r="Z111" s="640" t="str">
        <f t="shared" si="51"/>
        <v/>
      </c>
      <c r="AA111" s="641" t="str">
        <f t="shared" si="51"/>
        <v/>
      </c>
      <c r="AB111" s="639" t="str">
        <f t="shared" si="51"/>
        <v/>
      </c>
      <c r="AC111" s="640" t="str">
        <f t="shared" si="51"/>
        <v/>
      </c>
      <c r="AD111" s="640" t="str">
        <f t="shared" si="51"/>
        <v/>
      </c>
      <c r="AE111" s="640" t="str">
        <f t="shared" si="51"/>
        <v/>
      </c>
      <c r="AF111" s="640" t="str">
        <f t="shared" si="51"/>
        <v/>
      </c>
      <c r="AG111" s="640" t="str">
        <f t="shared" si="51"/>
        <v/>
      </c>
      <c r="AH111" s="641" t="str">
        <f t="shared" si="51"/>
        <v/>
      </c>
      <c r="AI111" s="642" t="str">
        <f t="shared" si="51"/>
        <v/>
      </c>
      <c r="AJ111" s="640" t="str">
        <f t="shared" si="51"/>
        <v/>
      </c>
      <c r="AK111" s="640" t="str">
        <f t="shared" si="51"/>
        <v/>
      </c>
      <c r="AL111" s="643">
        <f>SUM(G111:AH111)</f>
        <v>0</v>
      </c>
      <c r="AM111" s="644">
        <f>AL111/4</f>
        <v>0</v>
      </c>
      <c r="AN111" s="645" t="str">
        <f>IF(C110="","",C110)</f>
        <v/>
      </c>
      <c r="AO111" s="646" t="str">
        <f>IF(D110="","",D110)</f>
        <v/>
      </c>
      <c r="AP111" s="647" t="str">
        <f>IF(D110&lt;&gt;"",VLOOKUP(D110,$AU$2:$AV$6,2,FALSE),"")</f>
        <v/>
      </c>
      <c r="AQ111" s="644" t="e">
        <f>ROUNDDOWN(AL111/$AL$6,2)</f>
        <v>#DIV/0!</v>
      </c>
      <c r="AR111" s="644" t="e">
        <f>IF(AP111=1,"",AQ111)</f>
        <v>#DIV/0!</v>
      </c>
    </row>
    <row r="112" spans="1:44" ht="15.9" hidden="1" customHeight="1">
      <c r="A112" s="582"/>
      <c r="B112" s="1655" t="s">
        <v>1285</v>
      </c>
      <c r="C112" s="1640"/>
      <c r="D112" s="1642"/>
      <c r="E112" s="1644"/>
      <c r="F112" s="627" t="s">
        <v>1233</v>
      </c>
      <c r="G112" s="628"/>
      <c r="H112" s="629"/>
      <c r="I112" s="630"/>
      <c r="J112" s="630"/>
      <c r="K112" s="630"/>
      <c r="L112" s="630"/>
      <c r="M112" s="631"/>
      <c r="N112" s="628"/>
      <c r="O112" s="629"/>
      <c r="P112" s="630"/>
      <c r="Q112" s="630"/>
      <c r="R112" s="630"/>
      <c r="S112" s="630"/>
      <c r="T112" s="631"/>
      <c r="U112" s="628"/>
      <c r="V112" s="629"/>
      <c r="W112" s="630"/>
      <c r="X112" s="630"/>
      <c r="Y112" s="630"/>
      <c r="Z112" s="630"/>
      <c r="AA112" s="631"/>
      <c r="AB112" s="628"/>
      <c r="AC112" s="629"/>
      <c r="AD112" s="630"/>
      <c r="AE112" s="630"/>
      <c r="AF112" s="630"/>
      <c r="AG112" s="630"/>
      <c r="AH112" s="631"/>
      <c r="AI112" s="648"/>
      <c r="AJ112" s="629"/>
      <c r="AK112" s="629"/>
      <c r="AL112" s="633">
        <f>SUM(G113:AK113)</f>
        <v>0</v>
      </c>
      <c r="AM112" s="634"/>
      <c r="AN112" s="635"/>
      <c r="AO112" s="636"/>
      <c r="AP112" s="634"/>
      <c r="AQ112" s="637"/>
      <c r="AR112" s="637"/>
    </row>
    <row r="113" spans="1:44" ht="15.9" hidden="1" customHeight="1">
      <c r="A113" s="582"/>
      <c r="B113" s="1655"/>
      <c r="C113" s="1656"/>
      <c r="D113" s="1657"/>
      <c r="E113" s="1658"/>
      <c r="F113" s="638" t="s">
        <v>1234</v>
      </c>
      <c r="G113" s="639" t="str">
        <f t="shared" ref="G113:AK113" si="52">IF(G112&lt;&gt;"",VLOOKUP(G112,$AC$197:$AL$221,9,FALSE),"")</f>
        <v/>
      </c>
      <c r="H113" s="640" t="str">
        <f t="shared" si="52"/>
        <v/>
      </c>
      <c r="I113" s="640" t="str">
        <f t="shared" si="52"/>
        <v/>
      </c>
      <c r="J113" s="640" t="str">
        <f t="shared" si="52"/>
        <v/>
      </c>
      <c r="K113" s="640" t="str">
        <f t="shared" si="52"/>
        <v/>
      </c>
      <c r="L113" s="640" t="str">
        <f t="shared" si="52"/>
        <v/>
      </c>
      <c r="M113" s="641" t="str">
        <f t="shared" si="52"/>
        <v/>
      </c>
      <c r="N113" s="639" t="str">
        <f t="shared" si="52"/>
        <v/>
      </c>
      <c r="O113" s="640" t="str">
        <f t="shared" si="52"/>
        <v/>
      </c>
      <c r="P113" s="640" t="str">
        <f t="shared" si="52"/>
        <v/>
      </c>
      <c r="Q113" s="640" t="str">
        <f t="shared" si="52"/>
        <v/>
      </c>
      <c r="R113" s="640" t="str">
        <f t="shared" si="52"/>
        <v/>
      </c>
      <c r="S113" s="640" t="str">
        <f t="shared" si="52"/>
        <v/>
      </c>
      <c r="T113" s="641" t="str">
        <f t="shared" si="52"/>
        <v/>
      </c>
      <c r="U113" s="639" t="str">
        <f t="shared" si="52"/>
        <v/>
      </c>
      <c r="V113" s="640" t="str">
        <f t="shared" si="52"/>
        <v/>
      </c>
      <c r="W113" s="640" t="str">
        <f t="shared" si="52"/>
        <v/>
      </c>
      <c r="X113" s="640" t="str">
        <f t="shared" si="52"/>
        <v/>
      </c>
      <c r="Y113" s="640" t="str">
        <f t="shared" si="52"/>
        <v/>
      </c>
      <c r="Z113" s="640" t="str">
        <f t="shared" si="52"/>
        <v/>
      </c>
      <c r="AA113" s="641" t="str">
        <f t="shared" si="52"/>
        <v/>
      </c>
      <c r="AB113" s="639" t="str">
        <f t="shared" si="52"/>
        <v/>
      </c>
      <c r="AC113" s="640" t="str">
        <f t="shared" si="52"/>
        <v/>
      </c>
      <c r="AD113" s="640" t="str">
        <f t="shared" si="52"/>
        <v/>
      </c>
      <c r="AE113" s="640" t="str">
        <f t="shared" si="52"/>
        <v/>
      </c>
      <c r="AF113" s="640" t="str">
        <f t="shared" si="52"/>
        <v/>
      </c>
      <c r="AG113" s="640" t="str">
        <f t="shared" si="52"/>
        <v/>
      </c>
      <c r="AH113" s="641" t="str">
        <f t="shared" si="52"/>
        <v/>
      </c>
      <c r="AI113" s="642" t="str">
        <f t="shared" si="52"/>
        <v/>
      </c>
      <c r="AJ113" s="640" t="str">
        <f t="shared" si="52"/>
        <v/>
      </c>
      <c r="AK113" s="640" t="str">
        <f t="shared" si="52"/>
        <v/>
      </c>
      <c r="AL113" s="643">
        <f>SUM(G113:AH113)</f>
        <v>0</v>
      </c>
      <c r="AM113" s="644">
        <f>AL113/4</f>
        <v>0</v>
      </c>
      <c r="AN113" s="645" t="str">
        <f>IF(C112="","",C112)</f>
        <v/>
      </c>
      <c r="AO113" s="646" t="str">
        <f>IF(D112="","",D112)</f>
        <v/>
      </c>
      <c r="AP113" s="647" t="str">
        <f>IF(D112&lt;&gt;"",VLOOKUP(D112,$AU$2:$AV$6,2,FALSE),"")</f>
        <v/>
      </c>
      <c r="AQ113" s="644" t="e">
        <f>ROUNDDOWN(AL113/$AL$6,2)</f>
        <v>#DIV/0!</v>
      </c>
      <c r="AR113" s="644" t="e">
        <f>IF(AP113=1,"",AQ113)</f>
        <v>#DIV/0!</v>
      </c>
    </row>
    <row r="114" spans="1:44" ht="15.9" hidden="1" customHeight="1">
      <c r="A114" s="582"/>
      <c r="B114" s="1655" t="s">
        <v>1286</v>
      </c>
      <c r="C114" s="1640"/>
      <c r="D114" s="1642"/>
      <c r="E114" s="1644"/>
      <c r="F114" s="627" t="s">
        <v>1233</v>
      </c>
      <c r="G114" s="628"/>
      <c r="H114" s="629"/>
      <c r="I114" s="630"/>
      <c r="J114" s="630"/>
      <c r="K114" s="630"/>
      <c r="L114" s="630"/>
      <c r="M114" s="631"/>
      <c r="N114" s="628"/>
      <c r="O114" s="629"/>
      <c r="P114" s="630"/>
      <c r="Q114" s="630"/>
      <c r="R114" s="630"/>
      <c r="S114" s="630"/>
      <c r="T114" s="631"/>
      <c r="U114" s="628"/>
      <c r="V114" s="629"/>
      <c r="W114" s="630"/>
      <c r="X114" s="630"/>
      <c r="Y114" s="630"/>
      <c r="Z114" s="630"/>
      <c r="AA114" s="631"/>
      <c r="AB114" s="628"/>
      <c r="AC114" s="629"/>
      <c r="AD114" s="630"/>
      <c r="AE114" s="630"/>
      <c r="AF114" s="630"/>
      <c r="AG114" s="630"/>
      <c r="AH114" s="631"/>
      <c r="AI114" s="632"/>
      <c r="AJ114" s="630"/>
      <c r="AK114" s="630"/>
      <c r="AL114" s="633">
        <f>SUM(G115:AK115)</f>
        <v>0</v>
      </c>
      <c r="AM114" s="634"/>
      <c r="AN114" s="635"/>
      <c r="AO114" s="636"/>
      <c r="AP114" s="634"/>
      <c r="AQ114" s="637"/>
      <c r="AR114" s="637"/>
    </row>
    <row r="115" spans="1:44" ht="15.9" hidden="1" customHeight="1">
      <c r="A115" s="582"/>
      <c r="B115" s="1655"/>
      <c r="C115" s="1656"/>
      <c r="D115" s="1657"/>
      <c r="E115" s="1658"/>
      <c r="F115" s="638" t="s">
        <v>1234</v>
      </c>
      <c r="G115" s="639" t="str">
        <f t="shared" ref="G115:AK115" si="53">IF(G114&lt;&gt;"",VLOOKUP(G114,$AC$197:$AL$221,9,FALSE),"")</f>
        <v/>
      </c>
      <c r="H115" s="640" t="str">
        <f t="shared" si="53"/>
        <v/>
      </c>
      <c r="I115" s="640" t="str">
        <f t="shared" si="53"/>
        <v/>
      </c>
      <c r="J115" s="640" t="str">
        <f t="shared" si="53"/>
        <v/>
      </c>
      <c r="K115" s="640" t="str">
        <f t="shared" si="53"/>
        <v/>
      </c>
      <c r="L115" s="640" t="str">
        <f t="shared" si="53"/>
        <v/>
      </c>
      <c r="M115" s="641" t="str">
        <f t="shared" si="53"/>
        <v/>
      </c>
      <c r="N115" s="639" t="str">
        <f t="shared" si="53"/>
        <v/>
      </c>
      <c r="O115" s="640" t="str">
        <f t="shared" si="53"/>
        <v/>
      </c>
      <c r="P115" s="640" t="str">
        <f t="shared" si="53"/>
        <v/>
      </c>
      <c r="Q115" s="640" t="str">
        <f t="shared" si="53"/>
        <v/>
      </c>
      <c r="R115" s="640" t="str">
        <f t="shared" si="53"/>
        <v/>
      </c>
      <c r="S115" s="640" t="str">
        <f t="shared" si="53"/>
        <v/>
      </c>
      <c r="T115" s="641" t="str">
        <f t="shared" si="53"/>
        <v/>
      </c>
      <c r="U115" s="639" t="str">
        <f t="shared" si="53"/>
        <v/>
      </c>
      <c r="V115" s="640" t="str">
        <f t="shared" si="53"/>
        <v/>
      </c>
      <c r="W115" s="640" t="str">
        <f t="shared" si="53"/>
        <v/>
      </c>
      <c r="X115" s="640" t="str">
        <f t="shared" si="53"/>
        <v/>
      </c>
      <c r="Y115" s="640" t="str">
        <f t="shared" si="53"/>
        <v/>
      </c>
      <c r="Z115" s="640" t="str">
        <f t="shared" si="53"/>
        <v/>
      </c>
      <c r="AA115" s="641" t="str">
        <f t="shared" si="53"/>
        <v/>
      </c>
      <c r="AB115" s="639" t="str">
        <f t="shared" si="53"/>
        <v/>
      </c>
      <c r="AC115" s="640" t="str">
        <f t="shared" si="53"/>
        <v/>
      </c>
      <c r="AD115" s="640" t="str">
        <f t="shared" si="53"/>
        <v/>
      </c>
      <c r="AE115" s="640" t="str">
        <f t="shared" si="53"/>
        <v/>
      </c>
      <c r="AF115" s="640" t="str">
        <f t="shared" si="53"/>
        <v/>
      </c>
      <c r="AG115" s="640" t="str">
        <f t="shared" si="53"/>
        <v/>
      </c>
      <c r="AH115" s="641" t="str">
        <f t="shared" si="53"/>
        <v/>
      </c>
      <c r="AI115" s="642" t="str">
        <f t="shared" si="53"/>
        <v/>
      </c>
      <c r="AJ115" s="640" t="str">
        <f t="shared" si="53"/>
        <v/>
      </c>
      <c r="AK115" s="640" t="str">
        <f t="shared" si="53"/>
        <v/>
      </c>
      <c r="AL115" s="643">
        <f>SUM(G115:AH115)</f>
        <v>0</v>
      </c>
      <c r="AM115" s="644">
        <f>AL115/4</f>
        <v>0</v>
      </c>
      <c r="AN115" s="645" t="str">
        <f>IF(C114="","",C114)</f>
        <v/>
      </c>
      <c r="AO115" s="646" t="str">
        <f>IF(D114="","",D114)</f>
        <v/>
      </c>
      <c r="AP115" s="647" t="str">
        <f>IF(D114&lt;&gt;"",VLOOKUP(D114,$AU$2:$AV$6,2,FALSE),"")</f>
        <v/>
      </c>
      <c r="AQ115" s="644" t="e">
        <f>ROUNDDOWN(AL115/$AL$6,2)</f>
        <v>#DIV/0!</v>
      </c>
      <c r="AR115" s="644" t="e">
        <f>IF(AP115=1,"",AQ115)</f>
        <v>#DIV/0!</v>
      </c>
    </row>
    <row r="116" spans="1:44" ht="15.9" hidden="1" customHeight="1">
      <c r="A116" s="582"/>
      <c r="B116" s="1655" t="s">
        <v>1287</v>
      </c>
      <c r="C116" s="1640"/>
      <c r="D116" s="1642"/>
      <c r="E116" s="1644"/>
      <c r="F116" s="627" t="s">
        <v>1233</v>
      </c>
      <c r="G116" s="628"/>
      <c r="H116" s="629"/>
      <c r="I116" s="630"/>
      <c r="J116" s="630"/>
      <c r="K116" s="630"/>
      <c r="L116" s="630"/>
      <c r="M116" s="631"/>
      <c r="N116" s="628"/>
      <c r="O116" s="629"/>
      <c r="P116" s="630"/>
      <c r="Q116" s="630"/>
      <c r="R116" s="630"/>
      <c r="S116" s="630"/>
      <c r="T116" s="631"/>
      <c r="U116" s="628"/>
      <c r="V116" s="629"/>
      <c r="W116" s="630"/>
      <c r="X116" s="630"/>
      <c r="Y116" s="630"/>
      <c r="Z116" s="630"/>
      <c r="AA116" s="631"/>
      <c r="AB116" s="628"/>
      <c r="AC116" s="629"/>
      <c r="AD116" s="630"/>
      <c r="AE116" s="630"/>
      <c r="AF116" s="630"/>
      <c r="AG116" s="630"/>
      <c r="AH116" s="631"/>
      <c r="AI116" s="632"/>
      <c r="AJ116" s="630"/>
      <c r="AK116" s="630"/>
      <c r="AL116" s="633">
        <f>SUM(G117:AK117)</f>
        <v>0</v>
      </c>
      <c r="AM116" s="634"/>
      <c r="AN116" s="635"/>
      <c r="AO116" s="636"/>
      <c r="AP116" s="634"/>
      <c r="AQ116" s="637"/>
      <c r="AR116" s="637"/>
    </row>
    <row r="117" spans="1:44" ht="15.9" hidden="1" customHeight="1">
      <c r="A117" s="582"/>
      <c r="B117" s="1655"/>
      <c r="C117" s="1656"/>
      <c r="D117" s="1657"/>
      <c r="E117" s="1658"/>
      <c r="F117" s="638" t="s">
        <v>1234</v>
      </c>
      <c r="G117" s="639" t="str">
        <f t="shared" ref="G117:AK117" si="54">IF(G116&lt;&gt;"",VLOOKUP(G116,$AC$197:$AL$221,9,FALSE),"")</f>
        <v/>
      </c>
      <c r="H117" s="640" t="str">
        <f t="shared" si="54"/>
        <v/>
      </c>
      <c r="I117" s="640" t="str">
        <f t="shared" si="54"/>
        <v/>
      </c>
      <c r="J117" s="640" t="str">
        <f t="shared" si="54"/>
        <v/>
      </c>
      <c r="K117" s="640" t="str">
        <f t="shared" si="54"/>
        <v/>
      </c>
      <c r="L117" s="640" t="str">
        <f t="shared" si="54"/>
        <v/>
      </c>
      <c r="M117" s="641" t="str">
        <f t="shared" si="54"/>
        <v/>
      </c>
      <c r="N117" s="639" t="str">
        <f t="shared" si="54"/>
        <v/>
      </c>
      <c r="O117" s="640" t="str">
        <f t="shared" si="54"/>
        <v/>
      </c>
      <c r="P117" s="640" t="str">
        <f t="shared" si="54"/>
        <v/>
      </c>
      <c r="Q117" s="640" t="str">
        <f t="shared" si="54"/>
        <v/>
      </c>
      <c r="R117" s="640" t="str">
        <f t="shared" si="54"/>
        <v/>
      </c>
      <c r="S117" s="640" t="str">
        <f t="shared" si="54"/>
        <v/>
      </c>
      <c r="T117" s="641" t="str">
        <f t="shared" si="54"/>
        <v/>
      </c>
      <c r="U117" s="639" t="str">
        <f t="shared" si="54"/>
        <v/>
      </c>
      <c r="V117" s="640" t="str">
        <f t="shared" si="54"/>
        <v/>
      </c>
      <c r="W117" s="640" t="str">
        <f t="shared" si="54"/>
        <v/>
      </c>
      <c r="X117" s="640" t="str">
        <f t="shared" si="54"/>
        <v/>
      </c>
      <c r="Y117" s="640" t="str">
        <f t="shared" si="54"/>
        <v/>
      </c>
      <c r="Z117" s="640" t="str">
        <f t="shared" si="54"/>
        <v/>
      </c>
      <c r="AA117" s="641" t="str">
        <f t="shared" si="54"/>
        <v/>
      </c>
      <c r="AB117" s="639" t="str">
        <f t="shared" si="54"/>
        <v/>
      </c>
      <c r="AC117" s="640" t="str">
        <f t="shared" si="54"/>
        <v/>
      </c>
      <c r="AD117" s="640" t="str">
        <f t="shared" si="54"/>
        <v/>
      </c>
      <c r="AE117" s="640" t="str">
        <f t="shared" si="54"/>
        <v/>
      </c>
      <c r="AF117" s="640" t="str">
        <f t="shared" si="54"/>
        <v/>
      </c>
      <c r="AG117" s="640" t="str">
        <f t="shared" si="54"/>
        <v/>
      </c>
      <c r="AH117" s="641" t="str">
        <f t="shared" si="54"/>
        <v/>
      </c>
      <c r="AI117" s="642" t="str">
        <f t="shared" si="54"/>
        <v/>
      </c>
      <c r="AJ117" s="640" t="str">
        <f t="shared" si="54"/>
        <v/>
      </c>
      <c r="AK117" s="640" t="str">
        <f t="shared" si="54"/>
        <v/>
      </c>
      <c r="AL117" s="643">
        <f>SUM(G117:AH117)</f>
        <v>0</v>
      </c>
      <c r="AM117" s="644">
        <f>AL117/4</f>
        <v>0</v>
      </c>
      <c r="AN117" s="645" t="str">
        <f>IF(C116="","",C116)</f>
        <v/>
      </c>
      <c r="AO117" s="646" t="str">
        <f>IF(D116="","",D116)</f>
        <v/>
      </c>
      <c r="AP117" s="647" t="str">
        <f>IF(D116&lt;&gt;"",VLOOKUP(D116,$AU$2:$AV$6,2,FALSE),"")</f>
        <v/>
      </c>
      <c r="AQ117" s="644" t="e">
        <f>ROUNDDOWN(AL117/$AL$6,2)</f>
        <v>#DIV/0!</v>
      </c>
      <c r="AR117" s="644" t="e">
        <f>IF(AP117=1,"",AQ117)</f>
        <v>#DIV/0!</v>
      </c>
    </row>
    <row r="118" spans="1:44" ht="15.9" hidden="1" customHeight="1">
      <c r="A118" s="582"/>
      <c r="B118" s="1655" t="s">
        <v>1288</v>
      </c>
      <c r="C118" s="1640"/>
      <c r="D118" s="1642"/>
      <c r="E118" s="1644"/>
      <c r="F118" s="627" t="s">
        <v>1233</v>
      </c>
      <c r="G118" s="628"/>
      <c r="H118" s="629"/>
      <c r="I118" s="630"/>
      <c r="J118" s="630"/>
      <c r="K118" s="630"/>
      <c r="L118" s="630"/>
      <c r="M118" s="631"/>
      <c r="N118" s="628"/>
      <c r="O118" s="629"/>
      <c r="P118" s="630"/>
      <c r="Q118" s="630"/>
      <c r="R118" s="630"/>
      <c r="S118" s="630"/>
      <c r="T118" s="631"/>
      <c r="U118" s="628"/>
      <c r="V118" s="629"/>
      <c r="W118" s="630"/>
      <c r="X118" s="630"/>
      <c r="Y118" s="630"/>
      <c r="Z118" s="630"/>
      <c r="AA118" s="631"/>
      <c r="AB118" s="628"/>
      <c r="AC118" s="629"/>
      <c r="AD118" s="630"/>
      <c r="AE118" s="630"/>
      <c r="AF118" s="630"/>
      <c r="AG118" s="630"/>
      <c r="AH118" s="631"/>
      <c r="AI118" s="648"/>
      <c r="AJ118" s="629"/>
      <c r="AK118" s="629"/>
      <c r="AL118" s="633">
        <f>SUM(G119:AK119)</f>
        <v>0</v>
      </c>
      <c r="AM118" s="634"/>
      <c r="AN118" s="635"/>
      <c r="AO118" s="636"/>
      <c r="AP118" s="634"/>
      <c r="AQ118" s="637"/>
      <c r="AR118" s="637"/>
    </row>
    <row r="119" spans="1:44" ht="15.9" hidden="1" customHeight="1">
      <c r="A119" s="582"/>
      <c r="B119" s="1655"/>
      <c r="C119" s="1656"/>
      <c r="D119" s="1657"/>
      <c r="E119" s="1658"/>
      <c r="F119" s="638" t="s">
        <v>1234</v>
      </c>
      <c r="G119" s="639" t="str">
        <f t="shared" ref="G119:AK119" si="55">IF(G118&lt;&gt;"",VLOOKUP(G118,$AC$197:$AL$221,9,FALSE),"")</f>
        <v/>
      </c>
      <c r="H119" s="640" t="str">
        <f t="shared" si="55"/>
        <v/>
      </c>
      <c r="I119" s="640" t="str">
        <f t="shared" si="55"/>
        <v/>
      </c>
      <c r="J119" s="640" t="str">
        <f t="shared" si="55"/>
        <v/>
      </c>
      <c r="K119" s="640" t="str">
        <f t="shared" si="55"/>
        <v/>
      </c>
      <c r="L119" s="640" t="str">
        <f t="shared" si="55"/>
        <v/>
      </c>
      <c r="M119" s="641" t="str">
        <f t="shared" si="55"/>
        <v/>
      </c>
      <c r="N119" s="639" t="str">
        <f t="shared" si="55"/>
        <v/>
      </c>
      <c r="O119" s="640" t="str">
        <f t="shared" si="55"/>
        <v/>
      </c>
      <c r="P119" s="640" t="str">
        <f t="shared" si="55"/>
        <v/>
      </c>
      <c r="Q119" s="640" t="str">
        <f t="shared" si="55"/>
        <v/>
      </c>
      <c r="R119" s="640" t="str">
        <f t="shared" si="55"/>
        <v/>
      </c>
      <c r="S119" s="640" t="str">
        <f t="shared" si="55"/>
        <v/>
      </c>
      <c r="T119" s="641" t="str">
        <f t="shared" si="55"/>
        <v/>
      </c>
      <c r="U119" s="639" t="str">
        <f t="shared" si="55"/>
        <v/>
      </c>
      <c r="V119" s="640" t="str">
        <f t="shared" si="55"/>
        <v/>
      </c>
      <c r="W119" s="640" t="str">
        <f t="shared" si="55"/>
        <v/>
      </c>
      <c r="X119" s="640" t="str">
        <f t="shared" si="55"/>
        <v/>
      </c>
      <c r="Y119" s="640" t="str">
        <f t="shared" si="55"/>
        <v/>
      </c>
      <c r="Z119" s="640" t="str">
        <f t="shared" si="55"/>
        <v/>
      </c>
      <c r="AA119" s="641" t="str">
        <f t="shared" si="55"/>
        <v/>
      </c>
      <c r="AB119" s="639" t="str">
        <f t="shared" si="55"/>
        <v/>
      </c>
      <c r="AC119" s="640" t="str">
        <f t="shared" si="55"/>
        <v/>
      </c>
      <c r="AD119" s="640" t="str">
        <f t="shared" si="55"/>
        <v/>
      </c>
      <c r="AE119" s="640" t="str">
        <f t="shared" si="55"/>
        <v/>
      </c>
      <c r="AF119" s="640" t="str">
        <f t="shared" si="55"/>
        <v/>
      </c>
      <c r="AG119" s="640" t="str">
        <f t="shared" si="55"/>
        <v/>
      </c>
      <c r="AH119" s="641" t="str">
        <f t="shared" si="55"/>
        <v/>
      </c>
      <c r="AI119" s="642" t="str">
        <f t="shared" si="55"/>
        <v/>
      </c>
      <c r="AJ119" s="640" t="str">
        <f t="shared" si="55"/>
        <v/>
      </c>
      <c r="AK119" s="640" t="str">
        <f t="shared" si="55"/>
        <v/>
      </c>
      <c r="AL119" s="643">
        <f>SUM(G119:AH119)</f>
        <v>0</v>
      </c>
      <c r="AM119" s="644">
        <f>AL119/4</f>
        <v>0</v>
      </c>
      <c r="AN119" s="645" t="str">
        <f>IF(C118="","",C118)</f>
        <v/>
      </c>
      <c r="AO119" s="646" t="str">
        <f>IF(D118="","",D118)</f>
        <v/>
      </c>
      <c r="AP119" s="647" t="str">
        <f>IF(D118&lt;&gt;"",VLOOKUP(D118,$AU$2:$AV$6,2,FALSE),"")</f>
        <v/>
      </c>
      <c r="AQ119" s="644" t="e">
        <f>ROUNDDOWN(AL119/$AL$6,2)</f>
        <v>#DIV/0!</v>
      </c>
      <c r="AR119" s="644" t="e">
        <f>IF(AP119=1,"",AQ119)</f>
        <v>#DIV/0!</v>
      </c>
    </row>
    <row r="120" spans="1:44" ht="15.9" hidden="1" customHeight="1">
      <c r="A120" s="582"/>
      <c r="B120" s="1655" t="s">
        <v>1289</v>
      </c>
      <c r="C120" s="1640"/>
      <c r="D120" s="1642"/>
      <c r="E120" s="1644"/>
      <c r="F120" s="627" t="s">
        <v>1233</v>
      </c>
      <c r="G120" s="628"/>
      <c r="H120" s="629"/>
      <c r="I120" s="630"/>
      <c r="J120" s="630"/>
      <c r="K120" s="630"/>
      <c r="L120" s="630"/>
      <c r="M120" s="631"/>
      <c r="N120" s="628"/>
      <c r="O120" s="629"/>
      <c r="P120" s="630"/>
      <c r="Q120" s="630"/>
      <c r="R120" s="630"/>
      <c r="S120" s="630"/>
      <c r="T120" s="631"/>
      <c r="U120" s="628"/>
      <c r="V120" s="629"/>
      <c r="W120" s="630"/>
      <c r="X120" s="630"/>
      <c r="Y120" s="630"/>
      <c r="Z120" s="630"/>
      <c r="AA120" s="631"/>
      <c r="AB120" s="628"/>
      <c r="AC120" s="629"/>
      <c r="AD120" s="630"/>
      <c r="AE120" s="630"/>
      <c r="AF120" s="630"/>
      <c r="AG120" s="630"/>
      <c r="AH120" s="631"/>
      <c r="AI120" s="648"/>
      <c r="AJ120" s="629"/>
      <c r="AK120" s="629"/>
      <c r="AL120" s="633">
        <f>SUM(G121:AK121)</f>
        <v>0</v>
      </c>
      <c r="AM120" s="634"/>
      <c r="AN120" s="635"/>
      <c r="AO120" s="636"/>
      <c r="AP120" s="634"/>
      <c r="AQ120" s="637"/>
      <c r="AR120" s="637"/>
    </row>
    <row r="121" spans="1:44" ht="15.9" hidden="1" customHeight="1">
      <c r="A121" s="582"/>
      <c r="B121" s="1655"/>
      <c r="C121" s="1656"/>
      <c r="D121" s="1657"/>
      <c r="E121" s="1658"/>
      <c r="F121" s="638" t="s">
        <v>1234</v>
      </c>
      <c r="G121" s="639" t="str">
        <f t="shared" ref="G121:AK121" si="56">IF(G120&lt;&gt;"",VLOOKUP(G120,$AC$197:$AL$221,9,FALSE),"")</f>
        <v/>
      </c>
      <c r="H121" s="640" t="str">
        <f t="shared" si="56"/>
        <v/>
      </c>
      <c r="I121" s="640" t="str">
        <f t="shared" si="56"/>
        <v/>
      </c>
      <c r="J121" s="640" t="str">
        <f t="shared" si="56"/>
        <v/>
      </c>
      <c r="K121" s="640" t="str">
        <f t="shared" si="56"/>
        <v/>
      </c>
      <c r="L121" s="640" t="str">
        <f t="shared" si="56"/>
        <v/>
      </c>
      <c r="M121" s="641" t="str">
        <f t="shared" si="56"/>
        <v/>
      </c>
      <c r="N121" s="639" t="str">
        <f t="shared" si="56"/>
        <v/>
      </c>
      <c r="O121" s="640" t="str">
        <f t="shared" si="56"/>
        <v/>
      </c>
      <c r="P121" s="640" t="str">
        <f t="shared" si="56"/>
        <v/>
      </c>
      <c r="Q121" s="640" t="str">
        <f t="shared" si="56"/>
        <v/>
      </c>
      <c r="R121" s="640" t="str">
        <f t="shared" si="56"/>
        <v/>
      </c>
      <c r="S121" s="640" t="str">
        <f t="shared" si="56"/>
        <v/>
      </c>
      <c r="T121" s="641" t="str">
        <f t="shared" si="56"/>
        <v/>
      </c>
      <c r="U121" s="639" t="str">
        <f t="shared" si="56"/>
        <v/>
      </c>
      <c r="V121" s="640" t="str">
        <f t="shared" si="56"/>
        <v/>
      </c>
      <c r="W121" s="640" t="str">
        <f t="shared" si="56"/>
        <v/>
      </c>
      <c r="X121" s="640" t="str">
        <f t="shared" si="56"/>
        <v/>
      </c>
      <c r="Y121" s="640" t="str">
        <f t="shared" si="56"/>
        <v/>
      </c>
      <c r="Z121" s="640" t="str">
        <f t="shared" si="56"/>
        <v/>
      </c>
      <c r="AA121" s="641" t="str">
        <f t="shared" si="56"/>
        <v/>
      </c>
      <c r="AB121" s="639" t="str">
        <f t="shared" si="56"/>
        <v/>
      </c>
      <c r="AC121" s="640" t="str">
        <f t="shared" si="56"/>
        <v/>
      </c>
      <c r="AD121" s="640" t="str">
        <f t="shared" si="56"/>
        <v/>
      </c>
      <c r="AE121" s="640" t="str">
        <f t="shared" si="56"/>
        <v/>
      </c>
      <c r="AF121" s="640" t="str">
        <f t="shared" si="56"/>
        <v/>
      </c>
      <c r="AG121" s="640" t="str">
        <f t="shared" si="56"/>
        <v/>
      </c>
      <c r="AH121" s="641" t="str">
        <f t="shared" si="56"/>
        <v/>
      </c>
      <c r="AI121" s="642" t="str">
        <f t="shared" si="56"/>
        <v/>
      </c>
      <c r="AJ121" s="640" t="str">
        <f t="shared" si="56"/>
        <v/>
      </c>
      <c r="AK121" s="640" t="str">
        <f t="shared" si="56"/>
        <v/>
      </c>
      <c r="AL121" s="643">
        <f>SUM(G121:AH121)</f>
        <v>0</v>
      </c>
      <c r="AM121" s="644">
        <f>AL121/4</f>
        <v>0</v>
      </c>
      <c r="AN121" s="645" t="str">
        <f>IF(C120="","",C120)</f>
        <v/>
      </c>
      <c r="AO121" s="646" t="str">
        <f>IF(D120="","",D120)</f>
        <v/>
      </c>
      <c r="AP121" s="647" t="str">
        <f>IF(D120&lt;&gt;"",VLOOKUP(D120,$AU$2:$AV$6,2,FALSE),"")</f>
        <v/>
      </c>
      <c r="AQ121" s="644" t="e">
        <f>ROUNDDOWN(AL121/$AL$6,2)</f>
        <v>#DIV/0!</v>
      </c>
      <c r="AR121" s="644" t="e">
        <f>IF(AP121=1,"",AQ121)</f>
        <v>#DIV/0!</v>
      </c>
    </row>
    <row r="122" spans="1:44" ht="15.9" hidden="1" customHeight="1">
      <c r="A122" s="582"/>
      <c r="B122" s="1655" t="s">
        <v>1290</v>
      </c>
      <c r="C122" s="1640"/>
      <c r="D122" s="1642"/>
      <c r="E122" s="1644"/>
      <c r="F122" s="627" t="s">
        <v>1233</v>
      </c>
      <c r="G122" s="628"/>
      <c r="H122" s="629"/>
      <c r="I122" s="630"/>
      <c r="J122" s="630"/>
      <c r="K122" s="630"/>
      <c r="L122" s="630"/>
      <c r="M122" s="631"/>
      <c r="N122" s="628"/>
      <c r="O122" s="629"/>
      <c r="P122" s="630"/>
      <c r="Q122" s="630"/>
      <c r="R122" s="630"/>
      <c r="S122" s="630"/>
      <c r="T122" s="631"/>
      <c r="U122" s="628"/>
      <c r="V122" s="629"/>
      <c r="W122" s="630"/>
      <c r="X122" s="630"/>
      <c r="Y122" s="630"/>
      <c r="Z122" s="630"/>
      <c r="AA122" s="631"/>
      <c r="AB122" s="628"/>
      <c r="AC122" s="629"/>
      <c r="AD122" s="630"/>
      <c r="AE122" s="630"/>
      <c r="AF122" s="630"/>
      <c r="AG122" s="630"/>
      <c r="AH122" s="631"/>
      <c r="AI122" s="648"/>
      <c r="AJ122" s="629"/>
      <c r="AK122" s="629"/>
      <c r="AL122" s="633">
        <f>SUM(G123:AK123)</f>
        <v>0</v>
      </c>
      <c r="AM122" s="634"/>
      <c r="AN122" s="635"/>
      <c r="AO122" s="636"/>
      <c r="AP122" s="634"/>
      <c r="AQ122" s="637"/>
      <c r="AR122" s="637"/>
    </row>
    <row r="123" spans="1:44" ht="15.9" hidden="1" customHeight="1">
      <c r="A123" s="582"/>
      <c r="B123" s="1655"/>
      <c r="C123" s="1656"/>
      <c r="D123" s="1657"/>
      <c r="E123" s="1658"/>
      <c r="F123" s="638" t="s">
        <v>1234</v>
      </c>
      <c r="G123" s="639" t="str">
        <f t="shared" ref="G123:AK123" si="57">IF(G122&lt;&gt;"",VLOOKUP(G122,$AC$197:$AL$221,9,FALSE),"")</f>
        <v/>
      </c>
      <c r="H123" s="640" t="str">
        <f t="shared" si="57"/>
        <v/>
      </c>
      <c r="I123" s="640" t="str">
        <f t="shared" si="57"/>
        <v/>
      </c>
      <c r="J123" s="640" t="str">
        <f t="shared" si="57"/>
        <v/>
      </c>
      <c r="K123" s="640" t="str">
        <f t="shared" si="57"/>
        <v/>
      </c>
      <c r="L123" s="640" t="str">
        <f t="shared" si="57"/>
        <v/>
      </c>
      <c r="M123" s="641" t="str">
        <f t="shared" si="57"/>
        <v/>
      </c>
      <c r="N123" s="639" t="str">
        <f t="shared" si="57"/>
        <v/>
      </c>
      <c r="O123" s="640" t="str">
        <f t="shared" si="57"/>
        <v/>
      </c>
      <c r="P123" s="640" t="str">
        <f t="shared" si="57"/>
        <v/>
      </c>
      <c r="Q123" s="640" t="str">
        <f t="shared" si="57"/>
        <v/>
      </c>
      <c r="R123" s="640" t="str">
        <f t="shared" si="57"/>
        <v/>
      </c>
      <c r="S123" s="640" t="str">
        <f t="shared" si="57"/>
        <v/>
      </c>
      <c r="T123" s="641" t="str">
        <f t="shared" si="57"/>
        <v/>
      </c>
      <c r="U123" s="639" t="str">
        <f t="shared" si="57"/>
        <v/>
      </c>
      <c r="V123" s="640" t="str">
        <f t="shared" si="57"/>
        <v/>
      </c>
      <c r="W123" s="640" t="str">
        <f t="shared" si="57"/>
        <v/>
      </c>
      <c r="X123" s="640" t="str">
        <f t="shared" si="57"/>
        <v/>
      </c>
      <c r="Y123" s="640" t="str">
        <f t="shared" si="57"/>
        <v/>
      </c>
      <c r="Z123" s="640" t="str">
        <f t="shared" si="57"/>
        <v/>
      </c>
      <c r="AA123" s="641" t="str">
        <f t="shared" si="57"/>
        <v/>
      </c>
      <c r="AB123" s="639" t="str">
        <f t="shared" si="57"/>
        <v/>
      </c>
      <c r="AC123" s="640" t="str">
        <f t="shared" si="57"/>
        <v/>
      </c>
      <c r="AD123" s="640" t="str">
        <f t="shared" si="57"/>
        <v/>
      </c>
      <c r="AE123" s="640" t="str">
        <f t="shared" si="57"/>
        <v/>
      </c>
      <c r="AF123" s="640" t="str">
        <f t="shared" si="57"/>
        <v/>
      </c>
      <c r="AG123" s="640" t="str">
        <f t="shared" si="57"/>
        <v/>
      </c>
      <c r="AH123" s="641" t="str">
        <f t="shared" si="57"/>
        <v/>
      </c>
      <c r="AI123" s="642" t="str">
        <f t="shared" si="57"/>
        <v/>
      </c>
      <c r="AJ123" s="640" t="str">
        <f t="shared" si="57"/>
        <v/>
      </c>
      <c r="AK123" s="640" t="str">
        <f t="shared" si="57"/>
        <v/>
      </c>
      <c r="AL123" s="643">
        <f>SUM(G123:AH123)</f>
        <v>0</v>
      </c>
      <c r="AM123" s="644">
        <f>AL123/4</f>
        <v>0</v>
      </c>
      <c r="AN123" s="645" t="str">
        <f>IF(C122="","",C122)</f>
        <v/>
      </c>
      <c r="AO123" s="646" t="str">
        <f>IF(D122="","",D122)</f>
        <v/>
      </c>
      <c r="AP123" s="647" t="str">
        <f>IF(D122&lt;&gt;"",VLOOKUP(D122,$AU$2:$AV$6,2,FALSE),"")</f>
        <v/>
      </c>
      <c r="AQ123" s="644" t="e">
        <f>ROUNDDOWN(AL123/$AL$6,2)</f>
        <v>#DIV/0!</v>
      </c>
      <c r="AR123" s="644" t="e">
        <f>IF(AP123=1,"",AQ123)</f>
        <v>#DIV/0!</v>
      </c>
    </row>
    <row r="124" spans="1:44" ht="15.9" hidden="1" customHeight="1">
      <c r="A124" s="582"/>
      <c r="B124" s="1655" t="s">
        <v>1291</v>
      </c>
      <c r="C124" s="1640"/>
      <c r="D124" s="1642"/>
      <c r="E124" s="1644"/>
      <c r="F124" s="627" t="s">
        <v>1233</v>
      </c>
      <c r="G124" s="628"/>
      <c r="H124" s="629"/>
      <c r="I124" s="630"/>
      <c r="J124" s="630"/>
      <c r="K124" s="630"/>
      <c r="L124" s="630"/>
      <c r="M124" s="631"/>
      <c r="N124" s="628"/>
      <c r="O124" s="629"/>
      <c r="P124" s="630"/>
      <c r="Q124" s="630"/>
      <c r="R124" s="630"/>
      <c r="S124" s="630"/>
      <c r="T124" s="631"/>
      <c r="U124" s="628"/>
      <c r="V124" s="629"/>
      <c r="W124" s="630"/>
      <c r="X124" s="630"/>
      <c r="Y124" s="630"/>
      <c r="Z124" s="630"/>
      <c r="AA124" s="631"/>
      <c r="AB124" s="628"/>
      <c r="AC124" s="629"/>
      <c r="AD124" s="630"/>
      <c r="AE124" s="630"/>
      <c r="AF124" s="630"/>
      <c r="AG124" s="630"/>
      <c r="AH124" s="631"/>
      <c r="AI124" s="648"/>
      <c r="AJ124" s="629"/>
      <c r="AK124" s="629"/>
      <c r="AL124" s="633">
        <f>SUM(G125:AK125)</f>
        <v>0</v>
      </c>
      <c r="AM124" s="634"/>
      <c r="AN124" s="635"/>
      <c r="AO124" s="636"/>
      <c r="AP124" s="634"/>
      <c r="AQ124" s="637"/>
      <c r="AR124" s="637"/>
    </row>
    <row r="125" spans="1:44" ht="15.9" hidden="1" customHeight="1">
      <c r="A125" s="582"/>
      <c r="B125" s="1655"/>
      <c r="C125" s="1656"/>
      <c r="D125" s="1657"/>
      <c r="E125" s="1658"/>
      <c r="F125" s="638" t="s">
        <v>1234</v>
      </c>
      <c r="G125" s="639" t="str">
        <f t="shared" ref="G125:AK125" si="58">IF(G124&lt;&gt;"",VLOOKUP(G124,$AC$197:$AL$221,9,FALSE),"")</f>
        <v/>
      </c>
      <c r="H125" s="640" t="str">
        <f t="shared" si="58"/>
        <v/>
      </c>
      <c r="I125" s="640" t="str">
        <f t="shared" si="58"/>
        <v/>
      </c>
      <c r="J125" s="640" t="str">
        <f t="shared" si="58"/>
        <v/>
      </c>
      <c r="K125" s="640" t="str">
        <f t="shared" si="58"/>
        <v/>
      </c>
      <c r="L125" s="640" t="str">
        <f t="shared" si="58"/>
        <v/>
      </c>
      <c r="M125" s="641" t="str">
        <f t="shared" si="58"/>
        <v/>
      </c>
      <c r="N125" s="639" t="str">
        <f t="shared" si="58"/>
        <v/>
      </c>
      <c r="O125" s="640" t="str">
        <f t="shared" si="58"/>
        <v/>
      </c>
      <c r="P125" s="640" t="str">
        <f t="shared" si="58"/>
        <v/>
      </c>
      <c r="Q125" s="640" t="str">
        <f t="shared" si="58"/>
        <v/>
      </c>
      <c r="R125" s="640" t="str">
        <f t="shared" si="58"/>
        <v/>
      </c>
      <c r="S125" s="640" t="str">
        <f t="shared" si="58"/>
        <v/>
      </c>
      <c r="T125" s="641" t="str">
        <f t="shared" si="58"/>
        <v/>
      </c>
      <c r="U125" s="639" t="str">
        <f t="shared" si="58"/>
        <v/>
      </c>
      <c r="V125" s="640" t="str">
        <f t="shared" si="58"/>
        <v/>
      </c>
      <c r="W125" s="640" t="str">
        <f t="shared" si="58"/>
        <v/>
      </c>
      <c r="X125" s="640" t="str">
        <f t="shared" si="58"/>
        <v/>
      </c>
      <c r="Y125" s="640" t="str">
        <f t="shared" si="58"/>
        <v/>
      </c>
      <c r="Z125" s="640" t="str">
        <f t="shared" si="58"/>
        <v/>
      </c>
      <c r="AA125" s="641" t="str">
        <f t="shared" si="58"/>
        <v/>
      </c>
      <c r="AB125" s="639" t="str">
        <f t="shared" si="58"/>
        <v/>
      </c>
      <c r="AC125" s="640" t="str">
        <f t="shared" si="58"/>
        <v/>
      </c>
      <c r="AD125" s="640" t="str">
        <f t="shared" si="58"/>
        <v/>
      </c>
      <c r="AE125" s="640" t="str">
        <f t="shared" si="58"/>
        <v/>
      </c>
      <c r="AF125" s="640" t="str">
        <f t="shared" si="58"/>
        <v/>
      </c>
      <c r="AG125" s="640" t="str">
        <f t="shared" si="58"/>
        <v/>
      </c>
      <c r="AH125" s="641" t="str">
        <f t="shared" si="58"/>
        <v/>
      </c>
      <c r="AI125" s="642" t="str">
        <f t="shared" si="58"/>
        <v/>
      </c>
      <c r="AJ125" s="640" t="str">
        <f t="shared" si="58"/>
        <v/>
      </c>
      <c r="AK125" s="640" t="str">
        <f t="shared" si="58"/>
        <v/>
      </c>
      <c r="AL125" s="643">
        <f>SUM(G125:AH125)</f>
        <v>0</v>
      </c>
      <c r="AM125" s="644">
        <f>AL125/4</f>
        <v>0</v>
      </c>
      <c r="AN125" s="645" t="str">
        <f>IF(C124="","",C124)</f>
        <v/>
      </c>
      <c r="AO125" s="646" t="str">
        <f>IF(D124="","",D124)</f>
        <v/>
      </c>
      <c r="AP125" s="647" t="str">
        <f>IF(D124&lt;&gt;"",VLOOKUP(D124,$AU$2:$AV$6,2,FALSE),"")</f>
        <v/>
      </c>
      <c r="AQ125" s="644" t="e">
        <f>ROUNDDOWN(AL125/$AL$6,2)</f>
        <v>#DIV/0!</v>
      </c>
      <c r="AR125" s="644" t="e">
        <f>IF(AP125=1,"",AQ125)</f>
        <v>#DIV/0!</v>
      </c>
    </row>
    <row r="126" spans="1:44" ht="15.9" hidden="1" customHeight="1">
      <c r="A126" s="582"/>
      <c r="B126" s="1655" t="s">
        <v>1292</v>
      </c>
      <c r="C126" s="1640"/>
      <c r="D126" s="1642"/>
      <c r="E126" s="1644"/>
      <c r="F126" s="627" t="s">
        <v>1233</v>
      </c>
      <c r="G126" s="628"/>
      <c r="H126" s="629"/>
      <c r="I126" s="630"/>
      <c r="J126" s="630"/>
      <c r="K126" s="630"/>
      <c r="L126" s="630"/>
      <c r="M126" s="631"/>
      <c r="N126" s="628"/>
      <c r="O126" s="629"/>
      <c r="P126" s="630"/>
      <c r="Q126" s="630"/>
      <c r="R126" s="630"/>
      <c r="S126" s="630"/>
      <c r="T126" s="631"/>
      <c r="U126" s="628"/>
      <c r="V126" s="629"/>
      <c r="W126" s="630"/>
      <c r="X126" s="630"/>
      <c r="Y126" s="630"/>
      <c r="Z126" s="630"/>
      <c r="AA126" s="631"/>
      <c r="AB126" s="628"/>
      <c r="AC126" s="629"/>
      <c r="AD126" s="630"/>
      <c r="AE126" s="630"/>
      <c r="AF126" s="630"/>
      <c r="AG126" s="630"/>
      <c r="AH126" s="631"/>
      <c r="AI126" s="648"/>
      <c r="AJ126" s="629"/>
      <c r="AK126" s="629"/>
      <c r="AL126" s="633">
        <f>SUM(G127:AK127)</f>
        <v>0</v>
      </c>
      <c r="AM126" s="634"/>
      <c r="AN126" s="635"/>
      <c r="AO126" s="636"/>
      <c r="AP126" s="634"/>
      <c r="AQ126" s="637"/>
      <c r="AR126" s="637"/>
    </row>
    <row r="127" spans="1:44" ht="15.9" hidden="1" customHeight="1">
      <c r="A127" s="582"/>
      <c r="B127" s="1655"/>
      <c r="C127" s="1656"/>
      <c r="D127" s="1657"/>
      <c r="E127" s="1658"/>
      <c r="F127" s="638" t="s">
        <v>1234</v>
      </c>
      <c r="G127" s="639" t="str">
        <f t="shared" ref="G127:AK127" si="59">IF(G126&lt;&gt;"",VLOOKUP(G126,$AC$197:$AL$221,9,FALSE),"")</f>
        <v/>
      </c>
      <c r="H127" s="640" t="str">
        <f t="shared" si="59"/>
        <v/>
      </c>
      <c r="I127" s="640" t="str">
        <f t="shared" si="59"/>
        <v/>
      </c>
      <c r="J127" s="640" t="str">
        <f t="shared" si="59"/>
        <v/>
      </c>
      <c r="K127" s="640" t="str">
        <f t="shared" si="59"/>
        <v/>
      </c>
      <c r="L127" s="640" t="str">
        <f t="shared" si="59"/>
        <v/>
      </c>
      <c r="M127" s="641" t="str">
        <f t="shared" si="59"/>
        <v/>
      </c>
      <c r="N127" s="639" t="str">
        <f t="shared" si="59"/>
        <v/>
      </c>
      <c r="O127" s="640" t="str">
        <f t="shared" si="59"/>
        <v/>
      </c>
      <c r="P127" s="640" t="str">
        <f t="shared" si="59"/>
        <v/>
      </c>
      <c r="Q127" s="640" t="str">
        <f t="shared" si="59"/>
        <v/>
      </c>
      <c r="R127" s="640" t="str">
        <f t="shared" si="59"/>
        <v/>
      </c>
      <c r="S127" s="640" t="str">
        <f t="shared" si="59"/>
        <v/>
      </c>
      <c r="T127" s="641" t="str">
        <f t="shared" si="59"/>
        <v/>
      </c>
      <c r="U127" s="639" t="str">
        <f t="shared" si="59"/>
        <v/>
      </c>
      <c r="V127" s="640" t="str">
        <f t="shared" si="59"/>
        <v/>
      </c>
      <c r="W127" s="640" t="str">
        <f t="shared" si="59"/>
        <v/>
      </c>
      <c r="X127" s="640" t="str">
        <f t="shared" si="59"/>
        <v/>
      </c>
      <c r="Y127" s="640" t="str">
        <f t="shared" si="59"/>
        <v/>
      </c>
      <c r="Z127" s="640" t="str">
        <f t="shared" si="59"/>
        <v/>
      </c>
      <c r="AA127" s="641" t="str">
        <f t="shared" si="59"/>
        <v/>
      </c>
      <c r="AB127" s="639" t="str">
        <f t="shared" si="59"/>
        <v/>
      </c>
      <c r="AC127" s="640" t="str">
        <f t="shared" si="59"/>
        <v/>
      </c>
      <c r="AD127" s="640" t="str">
        <f t="shared" si="59"/>
        <v/>
      </c>
      <c r="AE127" s="640" t="str">
        <f t="shared" si="59"/>
        <v/>
      </c>
      <c r="AF127" s="640" t="str">
        <f t="shared" si="59"/>
        <v/>
      </c>
      <c r="AG127" s="640" t="str">
        <f t="shared" si="59"/>
        <v/>
      </c>
      <c r="AH127" s="641" t="str">
        <f t="shared" si="59"/>
        <v/>
      </c>
      <c r="AI127" s="642" t="str">
        <f t="shared" si="59"/>
        <v/>
      </c>
      <c r="AJ127" s="640" t="str">
        <f t="shared" si="59"/>
        <v/>
      </c>
      <c r="AK127" s="640" t="str">
        <f t="shared" si="59"/>
        <v/>
      </c>
      <c r="AL127" s="643">
        <f>SUM(G127:AH127)</f>
        <v>0</v>
      </c>
      <c r="AM127" s="644">
        <f>AL127/4</f>
        <v>0</v>
      </c>
      <c r="AN127" s="645" t="str">
        <f>IF(C126="","",C126)</f>
        <v/>
      </c>
      <c r="AO127" s="646" t="str">
        <f>IF(D126="","",D126)</f>
        <v/>
      </c>
      <c r="AP127" s="647" t="str">
        <f>IF(D126&lt;&gt;"",VLOOKUP(D126,$AU$2:$AV$6,2,FALSE),"")</f>
        <v/>
      </c>
      <c r="AQ127" s="644" t="e">
        <f>ROUNDDOWN(AL127/$AL$6,2)</f>
        <v>#DIV/0!</v>
      </c>
      <c r="AR127" s="644" t="e">
        <f>IF(AP127=1,"",AQ127)</f>
        <v>#DIV/0!</v>
      </c>
    </row>
    <row r="128" spans="1:44" ht="15.9" hidden="1" customHeight="1">
      <c r="A128" s="582"/>
      <c r="B128" s="1655" t="s">
        <v>1293</v>
      </c>
      <c r="C128" s="1640"/>
      <c r="D128" s="1642"/>
      <c r="E128" s="1644"/>
      <c r="F128" s="627" t="s">
        <v>1233</v>
      </c>
      <c r="G128" s="628"/>
      <c r="H128" s="629"/>
      <c r="I128" s="630"/>
      <c r="J128" s="630"/>
      <c r="K128" s="630"/>
      <c r="L128" s="630"/>
      <c r="M128" s="631"/>
      <c r="N128" s="628"/>
      <c r="O128" s="629"/>
      <c r="P128" s="630"/>
      <c r="Q128" s="630"/>
      <c r="R128" s="630"/>
      <c r="S128" s="630"/>
      <c r="T128" s="631"/>
      <c r="U128" s="628"/>
      <c r="V128" s="629"/>
      <c r="W128" s="630"/>
      <c r="X128" s="630"/>
      <c r="Y128" s="630"/>
      <c r="Z128" s="630"/>
      <c r="AA128" s="631"/>
      <c r="AB128" s="628"/>
      <c r="AC128" s="629"/>
      <c r="AD128" s="630"/>
      <c r="AE128" s="630"/>
      <c r="AF128" s="630"/>
      <c r="AG128" s="630"/>
      <c r="AH128" s="631"/>
      <c r="AI128" s="648"/>
      <c r="AJ128" s="629"/>
      <c r="AK128" s="629"/>
      <c r="AL128" s="633">
        <f>SUM(G129:AK129)</f>
        <v>0</v>
      </c>
      <c r="AM128" s="634"/>
      <c r="AN128" s="635"/>
      <c r="AO128" s="636"/>
      <c r="AP128" s="634"/>
      <c r="AQ128" s="637"/>
      <c r="AR128" s="637"/>
    </row>
    <row r="129" spans="1:44" ht="15.9" hidden="1" customHeight="1">
      <c r="A129" s="582"/>
      <c r="B129" s="1655"/>
      <c r="C129" s="1656"/>
      <c r="D129" s="1657"/>
      <c r="E129" s="1658"/>
      <c r="F129" s="638" t="s">
        <v>1234</v>
      </c>
      <c r="G129" s="639" t="str">
        <f t="shared" ref="G129:AK129" si="60">IF(G128&lt;&gt;"",VLOOKUP(G128,$AC$197:$AL$221,9,FALSE),"")</f>
        <v/>
      </c>
      <c r="H129" s="640" t="str">
        <f t="shared" si="60"/>
        <v/>
      </c>
      <c r="I129" s="640" t="str">
        <f t="shared" si="60"/>
        <v/>
      </c>
      <c r="J129" s="640" t="str">
        <f t="shared" si="60"/>
        <v/>
      </c>
      <c r="K129" s="640" t="str">
        <f t="shared" si="60"/>
        <v/>
      </c>
      <c r="L129" s="640" t="str">
        <f t="shared" si="60"/>
        <v/>
      </c>
      <c r="M129" s="641" t="str">
        <f t="shared" si="60"/>
        <v/>
      </c>
      <c r="N129" s="639" t="str">
        <f t="shared" si="60"/>
        <v/>
      </c>
      <c r="O129" s="640" t="str">
        <f t="shared" si="60"/>
        <v/>
      </c>
      <c r="P129" s="640" t="str">
        <f t="shared" si="60"/>
        <v/>
      </c>
      <c r="Q129" s="640" t="str">
        <f t="shared" si="60"/>
        <v/>
      </c>
      <c r="R129" s="640" t="str">
        <f t="shared" si="60"/>
        <v/>
      </c>
      <c r="S129" s="640" t="str">
        <f t="shared" si="60"/>
        <v/>
      </c>
      <c r="T129" s="641" t="str">
        <f t="shared" si="60"/>
        <v/>
      </c>
      <c r="U129" s="639" t="str">
        <f t="shared" si="60"/>
        <v/>
      </c>
      <c r="V129" s="640" t="str">
        <f t="shared" si="60"/>
        <v/>
      </c>
      <c r="W129" s="640" t="str">
        <f t="shared" si="60"/>
        <v/>
      </c>
      <c r="X129" s="640" t="str">
        <f t="shared" si="60"/>
        <v/>
      </c>
      <c r="Y129" s="640" t="str">
        <f t="shared" si="60"/>
        <v/>
      </c>
      <c r="Z129" s="640" t="str">
        <f t="shared" si="60"/>
        <v/>
      </c>
      <c r="AA129" s="641" t="str">
        <f t="shared" si="60"/>
        <v/>
      </c>
      <c r="AB129" s="639" t="str">
        <f t="shared" si="60"/>
        <v/>
      </c>
      <c r="AC129" s="640" t="str">
        <f t="shared" si="60"/>
        <v/>
      </c>
      <c r="AD129" s="640" t="str">
        <f t="shared" si="60"/>
        <v/>
      </c>
      <c r="AE129" s="640" t="str">
        <f t="shared" si="60"/>
        <v/>
      </c>
      <c r="AF129" s="640" t="str">
        <f t="shared" si="60"/>
        <v/>
      </c>
      <c r="AG129" s="640" t="str">
        <f t="shared" si="60"/>
        <v/>
      </c>
      <c r="AH129" s="641" t="str">
        <f t="shared" si="60"/>
        <v/>
      </c>
      <c r="AI129" s="642" t="str">
        <f t="shared" si="60"/>
        <v/>
      </c>
      <c r="AJ129" s="640" t="str">
        <f t="shared" si="60"/>
        <v/>
      </c>
      <c r="AK129" s="640" t="str">
        <f t="shared" si="60"/>
        <v/>
      </c>
      <c r="AL129" s="643">
        <f>SUM(G129:AH129)</f>
        <v>0</v>
      </c>
      <c r="AM129" s="644">
        <f>AL129/4</f>
        <v>0</v>
      </c>
      <c r="AN129" s="645" t="str">
        <f>IF(C128="","",C128)</f>
        <v/>
      </c>
      <c r="AO129" s="646" t="str">
        <f>IF(D128="","",D128)</f>
        <v/>
      </c>
      <c r="AP129" s="647" t="str">
        <f>IF(D128&lt;&gt;"",VLOOKUP(D128,$AU$2:$AV$6,2,FALSE),"")</f>
        <v/>
      </c>
      <c r="AQ129" s="644" t="e">
        <f>ROUNDDOWN(AL129/$AL$6,2)</f>
        <v>#DIV/0!</v>
      </c>
      <c r="AR129" s="644" t="e">
        <f>IF(AP129=1,"",AQ129)</f>
        <v>#DIV/0!</v>
      </c>
    </row>
    <row r="130" spans="1:44" ht="15.9" hidden="1" customHeight="1">
      <c r="A130" s="582"/>
      <c r="B130" s="1655" t="s">
        <v>1294</v>
      </c>
      <c r="C130" s="1640"/>
      <c r="D130" s="1642"/>
      <c r="E130" s="1644"/>
      <c r="F130" s="627" t="s">
        <v>1233</v>
      </c>
      <c r="G130" s="628"/>
      <c r="H130" s="629"/>
      <c r="I130" s="630"/>
      <c r="J130" s="630"/>
      <c r="K130" s="630"/>
      <c r="L130" s="630"/>
      <c r="M130" s="631"/>
      <c r="N130" s="628"/>
      <c r="O130" s="629"/>
      <c r="P130" s="630"/>
      <c r="Q130" s="630"/>
      <c r="R130" s="630"/>
      <c r="S130" s="630"/>
      <c r="T130" s="631"/>
      <c r="U130" s="628"/>
      <c r="V130" s="629"/>
      <c r="W130" s="630"/>
      <c r="X130" s="630"/>
      <c r="Y130" s="630"/>
      <c r="Z130" s="630"/>
      <c r="AA130" s="631"/>
      <c r="AB130" s="628"/>
      <c r="AC130" s="629"/>
      <c r="AD130" s="630"/>
      <c r="AE130" s="630"/>
      <c r="AF130" s="630"/>
      <c r="AG130" s="630"/>
      <c r="AH130" s="631"/>
      <c r="AI130" s="648"/>
      <c r="AJ130" s="629"/>
      <c r="AK130" s="629"/>
      <c r="AL130" s="633">
        <f>SUM(G131:AK131)</f>
        <v>0</v>
      </c>
      <c r="AM130" s="634"/>
      <c r="AN130" s="635"/>
      <c r="AO130" s="636"/>
      <c r="AP130" s="634"/>
      <c r="AQ130" s="637"/>
      <c r="AR130" s="637"/>
    </row>
    <row r="131" spans="1:44" ht="15.9" hidden="1" customHeight="1">
      <c r="A131" s="582"/>
      <c r="B131" s="1655"/>
      <c r="C131" s="1656"/>
      <c r="D131" s="1657"/>
      <c r="E131" s="1658"/>
      <c r="F131" s="638" t="s">
        <v>1234</v>
      </c>
      <c r="G131" s="639" t="str">
        <f t="shared" ref="G131:AK131" si="61">IF(G130&lt;&gt;"",VLOOKUP(G130,$AC$197:$AL$221,9,FALSE),"")</f>
        <v/>
      </c>
      <c r="H131" s="640" t="str">
        <f t="shared" si="61"/>
        <v/>
      </c>
      <c r="I131" s="640" t="str">
        <f t="shared" si="61"/>
        <v/>
      </c>
      <c r="J131" s="640" t="str">
        <f t="shared" si="61"/>
        <v/>
      </c>
      <c r="K131" s="640" t="str">
        <f t="shared" si="61"/>
        <v/>
      </c>
      <c r="L131" s="640" t="str">
        <f t="shared" si="61"/>
        <v/>
      </c>
      <c r="M131" s="641" t="str">
        <f t="shared" si="61"/>
        <v/>
      </c>
      <c r="N131" s="639" t="str">
        <f t="shared" si="61"/>
        <v/>
      </c>
      <c r="O131" s="640" t="str">
        <f t="shared" si="61"/>
        <v/>
      </c>
      <c r="P131" s="640" t="str">
        <f t="shared" si="61"/>
        <v/>
      </c>
      <c r="Q131" s="640" t="str">
        <f t="shared" si="61"/>
        <v/>
      </c>
      <c r="R131" s="640" t="str">
        <f t="shared" si="61"/>
        <v/>
      </c>
      <c r="S131" s="640" t="str">
        <f t="shared" si="61"/>
        <v/>
      </c>
      <c r="T131" s="641" t="str">
        <f t="shared" si="61"/>
        <v/>
      </c>
      <c r="U131" s="639" t="str">
        <f t="shared" si="61"/>
        <v/>
      </c>
      <c r="V131" s="640" t="str">
        <f t="shared" si="61"/>
        <v/>
      </c>
      <c r="W131" s="640" t="str">
        <f t="shared" si="61"/>
        <v/>
      </c>
      <c r="X131" s="640" t="str">
        <f t="shared" si="61"/>
        <v/>
      </c>
      <c r="Y131" s="640" t="str">
        <f t="shared" si="61"/>
        <v/>
      </c>
      <c r="Z131" s="640" t="str">
        <f t="shared" si="61"/>
        <v/>
      </c>
      <c r="AA131" s="641" t="str">
        <f t="shared" si="61"/>
        <v/>
      </c>
      <c r="AB131" s="639" t="str">
        <f t="shared" si="61"/>
        <v/>
      </c>
      <c r="AC131" s="640" t="str">
        <f t="shared" si="61"/>
        <v/>
      </c>
      <c r="AD131" s="640" t="str">
        <f t="shared" si="61"/>
        <v/>
      </c>
      <c r="AE131" s="640" t="str">
        <f t="shared" si="61"/>
        <v/>
      </c>
      <c r="AF131" s="640" t="str">
        <f t="shared" si="61"/>
        <v/>
      </c>
      <c r="AG131" s="640" t="str">
        <f t="shared" si="61"/>
        <v/>
      </c>
      <c r="AH131" s="641" t="str">
        <f t="shared" si="61"/>
        <v/>
      </c>
      <c r="AI131" s="642" t="str">
        <f t="shared" si="61"/>
        <v/>
      </c>
      <c r="AJ131" s="640" t="str">
        <f t="shared" si="61"/>
        <v/>
      </c>
      <c r="AK131" s="640" t="str">
        <f t="shared" si="61"/>
        <v/>
      </c>
      <c r="AL131" s="643">
        <f>SUM(G131:AH131)</f>
        <v>0</v>
      </c>
      <c r="AM131" s="644">
        <f>AL131/4</f>
        <v>0</v>
      </c>
      <c r="AN131" s="645" t="str">
        <f>IF(C130="","",C130)</f>
        <v/>
      </c>
      <c r="AO131" s="646" t="str">
        <f>IF(D130="","",D130)</f>
        <v/>
      </c>
      <c r="AP131" s="647" t="str">
        <f>IF(D130&lt;&gt;"",VLOOKUP(D130,$AU$2:$AV$6,2,FALSE),"")</f>
        <v/>
      </c>
      <c r="AQ131" s="644" t="e">
        <f>ROUNDDOWN(AL131/$AL$6,2)</f>
        <v>#DIV/0!</v>
      </c>
      <c r="AR131" s="644" t="e">
        <f>IF(AP131=1,"",AQ131)</f>
        <v>#DIV/0!</v>
      </c>
    </row>
    <row r="132" spans="1:44" ht="15.9" hidden="1" customHeight="1">
      <c r="A132" s="582"/>
      <c r="B132" s="1655" t="s">
        <v>1295</v>
      </c>
      <c r="C132" s="1640"/>
      <c r="D132" s="1642"/>
      <c r="E132" s="1644"/>
      <c r="F132" s="627" t="s">
        <v>1233</v>
      </c>
      <c r="G132" s="628"/>
      <c r="H132" s="629"/>
      <c r="I132" s="630"/>
      <c r="J132" s="630"/>
      <c r="K132" s="630"/>
      <c r="L132" s="630"/>
      <c r="M132" s="631"/>
      <c r="N132" s="628"/>
      <c r="O132" s="629"/>
      <c r="P132" s="630"/>
      <c r="Q132" s="630"/>
      <c r="R132" s="630"/>
      <c r="S132" s="630"/>
      <c r="T132" s="631"/>
      <c r="U132" s="628"/>
      <c r="V132" s="629"/>
      <c r="W132" s="630"/>
      <c r="X132" s="630"/>
      <c r="Y132" s="630"/>
      <c r="Z132" s="630"/>
      <c r="AA132" s="631"/>
      <c r="AB132" s="628"/>
      <c r="AC132" s="629"/>
      <c r="AD132" s="630"/>
      <c r="AE132" s="630"/>
      <c r="AF132" s="630"/>
      <c r="AG132" s="630"/>
      <c r="AH132" s="631"/>
      <c r="AI132" s="648"/>
      <c r="AJ132" s="629"/>
      <c r="AK132" s="629"/>
      <c r="AL132" s="633">
        <f>SUM(G133:AK133)</f>
        <v>0</v>
      </c>
      <c r="AM132" s="634"/>
      <c r="AN132" s="635"/>
      <c r="AO132" s="636"/>
      <c r="AP132" s="634"/>
      <c r="AQ132" s="637"/>
      <c r="AR132" s="637"/>
    </row>
    <row r="133" spans="1:44" ht="15.9" hidden="1" customHeight="1">
      <c r="A133" s="582"/>
      <c r="B133" s="1655"/>
      <c r="C133" s="1656"/>
      <c r="D133" s="1657"/>
      <c r="E133" s="1658"/>
      <c r="F133" s="638" t="s">
        <v>1234</v>
      </c>
      <c r="G133" s="639" t="str">
        <f t="shared" ref="G133:AK133" si="62">IF(G132&lt;&gt;"",VLOOKUP(G132,$AC$197:$AL$221,9,FALSE),"")</f>
        <v/>
      </c>
      <c r="H133" s="640" t="str">
        <f t="shared" si="62"/>
        <v/>
      </c>
      <c r="I133" s="640" t="str">
        <f t="shared" si="62"/>
        <v/>
      </c>
      <c r="J133" s="640" t="str">
        <f t="shared" si="62"/>
        <v/>
      </c>
      <c r="K133" s="640" t="str">
        <f t="shared" si="62"/>
        <v/>
      </c>
      <c r="L133" s="640" t="str">
        <f t="shared" si="62"/>
        <v/>
      </c>
      <c r="M133" s="641" t="str">
        <f t="shared" si="62"/>
        <v/>
      </c>
      <c r="N133" s="639" t="str">
        <f t="shared" si="62"/>
        <v/>
      </c>
      <c r="O133" s="640" t="str">
        <f t="shared" si="62"/>
        <v/>
      </c>
      <c r="P133" s="640" t="str">
        <f t="shared" si="62"/>
        <v/>
      </c>
      <c r="Q133" s="640" t="str">
        <f t="shared" si="62"/>
        <v/>
      </c>
      <c r="R133" s="640" t="str">
        <f t="shared" si="62"/>
        <v/>
      </c>
      <c r="S133" s="640" t="str">
        <f t="shared" si="62"/>
        <v/>
      </c>
      <c r="T133" s="641" t="str">
        <f t="shared" si="62"/>
        <v/>
      </c>
      <c r="U133" s="639" t="str">
        <f t="shared" si="62"/>
        <v/>
      </c>
      <c r="V133" s="640" t="str">
        <f t="shared" si="62"/>
        <v/>
      </c>
      <c r="W133" s="640" t="str">
        <f t="shared" si="62"/>
        <v/>
      </c>
      <c r="X133" s="640" t="str">
        <f t="shared" si="62"/>
        <v/>
      </c>
      <c r="Y133" s="640" t="str">
        <f t="shared" si="62"/>
        <v/>
      </c>
      <c r="Z133" s="640" t="str">
        <f t="shared" si="62"/>
        <v/>
      </c>
      <c r="AA133" s="641" t="str">
        <f t="shared" si="62"/>
        <v/>
      </c>
      <c r="AB133" s="639" t="str">
        <f t="shared" si="62"/>
        <v/>
      </c>
      <c r="AC133" s="640" t="str">
        <f t="shared" si="62"/>
        <v/>
      </c>
      <c r="AD133" s="640" t="str">
        <f t="shared" si="62"/>
        <v/>
      </c>
      <c r="AE133" s="640" t="str">
        <f t="shared" si="62"/>
        <v/>
      </c>
      <c r="AF133" s="640" t="str">
        <f t="shared" si="62"/>
        <v/>
      </c>
      <c r="AG133" s="640" t="str">
        <f t="shared" si="62"/>
        <v/>
      </c>
      <c r="AH133" s="641" t="str">
        <f t="shared" si="62"/>
        <v/>
      </c>
      <c r="AI133" s="642" t="str">
        <f t="shared" si="62"/>
        <v/>
      </c>
      <c r="AJ133" s="640" t="str">
        <f t="shared" si="62"/>
        <v/>
      </c>
      <c r="AK133" s="640" t="str">
        <f t="shared" si="62"/>
        <v/>
      </c>
      <c r="AL133" s="643">
        <f>SUM(G133:AH133)</f>
        <v>0</v>
      </c>
      <c r="AM133" s="644">
        <f>AL133/4</f>
        <v>0</v>
      </c>
      <c r="AN133" s="645" t="str">
        <f>IF(C132="","",C132)</f>
        <v/>
      </c>
      <c r="AO133" s="646" t="str">
        <f>IF(D132="","",D132)</f>
        <v/>
      </c>
      <c r="AP133" s="647" t="str">
        <f>IF(D132&lt;&gt;"",VLOOKUP(D132,$AU$2:$AV$6,2,FALSE),"")</f>
        <v/>
      </c>
      <c r="AQ133" s="644" t="e">
        <f>ROUNDDOWN(AL133/$AL$6,2)</f>
        <v>#DIV/0!</v>
      </c>
      <c r="AR133" s="644" t="e">
        <f>IF(AP133=1,"",AQ133)</f>
        <v>#DIV/0!</v>
      </c>
    </row>
    <row r="134" spans="1:44" ht="15.9" hidden="1" customHeight="1">
      <c r="A134" s="582"/>
      <c r="B134" s="1655" t="s">
        <v>1296</v>
      </c>
      <c r="C134" s="1640"/>
      <c r="D134" s="1642"/>
      <c r="E134" s="1644"/>
      <c r="F134" s="627" t="s">
        <v>1233</v>
      </c>
      <c r="G134" s="628"/>
      <c r="H134" s="629"/>
      <c r="I134" s="630"/>
      <c r="J134" s="630"/>
      <c r="K134" s="630"/>
      <c r="L134" s="630"/>
      <c r="M134" s="631"/>
      <c r="N134" s="628"/>
      <c r="O134" s="629"/>
      <c r="P134" s="630"/>
      <c r="Q134" s="630"/>
      <c r="R134" s="630"/>
      <c r="S134" s="630"/>
      <c r="T134" s="631"/>
      <c r="U134" s="628"/>
      <c r="V134" s="629"/>
      <c r="W134" s="630"/>
      <c r="X134" s="630"/>
      <c r="Y134" s="630"/>
      <c r="Z134" s="630"/>
      <c r="AA134" s="631"/>
      <c r="AB134" s="628"/>
      <c r="AC134" s="629"/>
      <c r="AD134" s="630"/>
      <c r="AE134" s="630"/>
      <c r="AF134" s="630"/>
      <c r="AG134" s="630"/>
      <c r="AH134" s="631"/>
      <c r="AI134" s="648"/>
      <c r="AJ134" s="629"/>
      <c r="AK134" s="629"/>
      <c r="AL134" s="633">
        <f>SUM(G135:AK135)</f>
        <v>0</v>
      </c>
      <c r="AM134" s="634"/>
      <c r="AN134" s="635"/>
      <c r="AO134" s="636"/>
      <c r="AP134" s="634"/>
      <c r="AQ134" s="637"/>
      <c r="AR134" s="637"/>
    </row>
    <row r="135" spans="1:44" ht="15.9" hidden="1" customHeight="1">
      <c r="A135" s="582"/>
      <c r="B135" s="1655"/>
      <c r="C135" s="1656"/>
      <c r="D135" s="1657"/>
      <c r="E135" s="1658"/>
      <c r="F135" s="638" t="s">
        <v>1234</v>
      </c>
      <c r="G135" s="639" t="str">
        <f t="shared" ref="G135:AK135" si="63">IF(G134&lt;&gt;"",VLOOKUP(G134,$AC$197:$AL$221,9,FALSE),"")</f>
        <v/>
      </c>
      <c r="H135" s="640" t="str">
        <f t="shared" si="63"/>
        <v/>
      </c>
      <c r="I135" s="640" t="str">
        <f t="shared" si="63"/>
        <v/>
      </c>
      <c r="J135" s="640" t="str">
        <f t="shared" si="63"/>
        <v/>
      </c>
      <c r="K135" s="640" t="str">
        <f t="shared" si="63"/>
        <v/>
      </c>
      <c r="L135" s="640" t="str">
        <f t="shared" si="63"/>
        <v/>
      </c>
      <c r="M135" s="641" t="str">
        <f t="shared" si="63"/>
        <v/>
      </c>
      <c r="N135" s="639" t="str">
        <f t="shared" si="63"/>
        <v/>
      </c>
      <c r="O135" s="640" t="str">
        <f t="shared" si="63"/>
        <v/>
      </c>
      <c r="P135" s="640" t="str">
        <f t="shared" si="63"/>
        <v/>
      </c>
      <c r="Q135" s="640" t="str">
        <f t="shared" si="63"/>
        <v/>
      </c>
      <c r="R135" s="640" t="str">
        <f t="shared" si="63"/>
        <v/>
      </c>
      <c r="S135" s="640" t="str">
        <f t="shared" si="63"/>
        <v/>
      </c>
      <c r="T135" s="641" t="str">
        <f t="shared" si="63"/>
        <v/>
      </c>
      <c r="U135" s="639" t="str">
        <f t="shared" si="63"/>
        <v/>
      </c>
      <c r="V135" s="640" t="str">
        <f t="shared" si="63"/>
        <v/>
      </c>
      <c r="W135" s="640" t="str">
        <f t="shared" si="63"/>
        <v/>
      </c>
      <c r="X135" s="640" t="str">
        <f t="shared" si="63"/>
        <v/>
      </c>
      <c r="Y135" s="640" t="str">
        <f t="shared" si="63"/>
        <v/>
      </c>
      <c r="Z135" s="640" t="str">
        <f t="shared" si="63"/>
        <v/>
      </c>
      <c r="AA135" s="641" t="str">
        <f t="shared" si="63"/>
        <v/>
      </c>
      <c r="AB135" s="639" t="str">
        <f t="shared" si="63"/>
        <v/>
      </c>
      <c r="AC135" s="640" t="str">
        <f t="shared" si="63"/>
        <v/>
      </c>
      <c r="AD135" s="640" t="str">
        <f t="shared" si="63"/>
        <v/>
      </c>
      <c r="AE135" s="640" t="str">
        <f t="shared" si="63"/>
        <v/>
      </c>
      <c r="AF135" s="640" t="str">
        <f t="shared" si="63"/>
        <v/>
      </c>
      <c r="AG135" s="640" t="str">
        <f t="shared" si="63"/>
        <v/>
      </c>
      <c r="AH135" s="641" t="str">
        <f t="shared" si="63"/>
        <v/>
      </c>
      <c r="AI135" s="642" t="str">
        <f t="shared" si="63"/>
        <v/>
      </c>
      <c r="AJ135" s="640" t="str">
        <f t="shared" si="63"/>
        <v/>
      </c>
      <c r="AK135" s="640" t="str">
        <f t="shared" si="63"/>
        <v/>
      </c>
      <c r="AL135" s="643">
        <f>SUM(G135:AH135)</f>
        <v>0</v>
      </c>
      <c r="AM135" s="644">
        <f>AL135/4</f>
        <v>0</v>
      </c>
      <c r="AN135" s="645" t="str">
        <f>IF(C134="","",C134)</f>
        <v/>
      </c>
      <c r="AO135" s="646" t="str">
        <f>IF(D134="","",D134)</f>
        <v/>
      </c>
      <c r="AP135" s="647" t="str">
        <f>IF(D134&lt;&gt;"",VLOOKUP(D134,$AU$2:$AV$6,2,FALSE),"")</f>
        <v/>
      </c>
      <c r="AQ135" s="644" t="e">
        <f>ROUNDDOWN(AL135/$AL$6,2)</f>
        <v>#DIV/0!</v>
      </c>
      <c r="AR135" s="644" t="e">
        <f>IF(AP135=1,"",AQ135)</f>
        <v>#DIV/0!</v>
      </c>
    </row>
    <row r="136" spans="1:44" ht="15.9" hidden="1" customHeight="1">
      <c r="A136" s="582"/>
      <c r="B136" s="1655" t="s">
        <v>1297</v>
      </c>
      <c r="C136" s="1640"/>
      <c r="D136" s="1642"/>
      <c r="E136" s="1644"/>
      <c r="F136" s="627" t="s">
        <v>1233</v>
      </c>
      <c r="G136" s="628"/>
      <c r="H136" s="629"/>
      <c r="I136" s="630"/>
      <c r="J136" s="630"/>
      <c r="K136" s="630"/>
      <c r="L136" s="630"/>
      <c r="M136" s="631"/>
      <c r="N136" s="628"/>
      <c r="O136" s="629"/>
      <c r="P136" s="630"/>
      <c r="Q136" s="630"/>
      <c r="R136" s="630"/>
      <c r="S136" s="630"/>
      <c r="T136" s="631"/>
      <c r="U136" s="628"/>
      <c r="V136" s="629"/>
      <c r="W136" s="630"/>
      <c r="X136" s="630"/>
      <c r="Y136" s="630"/>
      <c r="Z136" s="630"/>
      <c r="AA136" s="631"/>
      <c r="AB136" s="628"/>
      <c r="AC136" s="629"/>
      <c r="AD136" s="630"/>
      <c r="AE136" s="630"/>
      <c r="AF136" s="630"/>
      <c r="AG136" s="630"/>
      <c r="AH136" s="631"/>
      <c r="AI136" s="648"/>
      <c r="AJ136" s="629"/>
      <c r="AK136" s="629"/>
      <c r="AL136" s="633">
        <f>SUM(G137:AK137)</f>
        <v>0</v>
      </c>
      <c r="AM136" s="634"/>
      <c r="AN136" s="635"/>
      <c r="AO136" s="636"/>
      <c r="AP136" s="634"/>
      <c r="AQ136" s="637"/>
      <c r="AR136" s="637"/>
    </row>
    <row r="137" spans="1:44" ht="15.9" hidden="1" customHeight="1">
      <c r="A137" s="582"/>
      <c r="B137" s="1655"/>
      <c r="C137" s="1656"/>
      <c r="D137" s="1657"/>
      <c r="E137" s="1658"/>
      <c r="F137" s="638" t="s">
        <v>1234</v>
      </c>
      <c r="G137" s="639" t="str">
        <f t="shared" ref="G137:AK137" si="64">IF(G136&lt;&gt;"",VLOOKUP(G136,$AC$197:$AL$221,9,FALSE),"")</f>
        <v/>
      </c>
      <c r="H137" s="640" t="str">
        <f t="shared" si="64"/>
        <v/>
      </c>
      <c r="I137" s="640" t="str">
        <f t="shared" si="64"/>
        <v/>
      </c>
      <c r="J137" s="640" t="str">
        <f t="shared" si="64"/>
        <v/>
      </c>
      <c r="K137" s="640" t="str">
        <f t="shared" si="64"/>
        <v/>
      </c>
      <c r="L137" s="640" t="str">
        <f t="shared" si="64"/>
        <v/>
      </c>
      <c r="M137" s="641" t="str">
        <f t="shared" si="64"/>
        <v/>
      </c>
      <c r="N137" s="639" t="str">
        <f t="shared" si="64"/>
        <v/>
      </c>
      <c r="O137" s="640" t="str">
        <f t="shared" si="64"/>
        <v/>
      </c>
      <c r="P137" s="640" t="str">
        <f t="shared" si="64"/>
        <v/>
      </c>
      <c r="Q137" s="640" t="str">
        <f t="shared" si="64"/>
        <v/>
      </c>
      <c r="R137" s="640" t="str">
        <f t="shared" si="64"/>
        <v/>
      </c>
      <c r="S137" s="640" t="str">
        <f t="shared" si="64"/>
        <v/>
      </c>
      <c r="T137" s="641" t="str">
        <f t="shared" si="64"/>
        <v/>
      </c>
      <c r="U137" s="639" t="str">
        <f t="shared" si="64"/>
        <v/>
      </c>
      <c r="V137" s="640" t="str">
        <f t="shared" si="64"/>
        <v/>
      </c>
      <c r="W137" s="640" t="str">
        <f t="shared" si="64"/>
        <v/>
      </c>
      <c r="X137" s="640" t="str">
        <f t="shared" si="64"/>
        <v/>
      </c>
      <c r="Y137" s="640" t="str">
        <f t="shared" si="64"/>
        <v/>
      </c>
      <c r="Z137" s="640" t="str">
        <f t="shared" si="64"/>
        <v/>
      </c>
      <c r="AA137" s="641" t="str">
        <f t="shared" si="64"/>
        <v/>
      </c>
      <c r="AB137" s="639" t="str">
        <f t="shared" si="64"/>
        <v/>
      </c>
      <c r="AC137" s="640" t="str">
        <f t="shared" si="64"/>
        <v/>
      </c>
      <c r="AD137" s="640" t="str">
        <f t="shared" si="64"/>
        <v/>
      </c>
      <c r="AE137" s="640" t="str">
        <f t="shared" si="64"/>
        <v/>
      </c>
      <c r="AF137" s="640" t="str">
        <f t="shared" si="64"/>
        <v/>
      </c>
      <c r="AG137" s="640" t="str">
        <f t="shared" si="64"/>
        <v/>
      </c>
      <c r="AH137" s="641" t="str">
        <f t="shared" si="64"/>
        <v/>
      </c>
      <c r="AI137" s="642" t="str">
        <f t="shared" si="64"/>
        <v/>
      </c>
      <c r="AJ137" s="640" t="str">
        <f t="shared" si="64"/>
        <v/>
      </c>
      <c r="AK137" s="640" t="str">
        <f t="shared" si="64"/>
        <v/>
      </c>
      <c r="AL137" s="643">
        <f>SUM(G137:AH137)</f>
        <v>0</v>
      </c>
      <c r="AM137" s="644">
        <f>AL137/4</f>
        <v>0</v>
      </c>
      <c r="AN137" s="645" t="str">
        <f>IF(C136="","",C136)</f>
        <v/>
      </c>
      <c r="AO137" s="646" t="str">
        <f>IF(D136="","",D136)</f>
        <v/>
      </c>
      <c r="AP137" s="647" t="str">
        <f>IF(D136&lt;&gt;"",VLOOKUP(D136,$AU$2:$AV$6,2,FALSE),"")</f>
        <v/>
      </c>
      <c r="AQ137" s="644" t="e">
        <f>ROUNDDOWN(AL137/$AL$6,2)</f>
        <v>#DIV/0!</v>
      </c>
      <c r="AR137" s="644" t="e">
        <f>IF(AP137=1,"",AQ137)</f>
        <v>#DIV/0!</v>
      </c>
    </row>
    <row r="138" spans="1:44" ht="15.9" customHeight="1">
      <c r="A138" s="582"/>
      <c r="B138" s="1655" t="s">
        <v>1298</v>
      </c>
      <c r="C138" s="1640"/>
      <c r="D138" s="1642"/>
      <c r="E138" s="1644"/>
      <c r="F138" s="627" t="s">
        <v>1233</v>
      </c>
      <c r="G138" s="628"/>
      <c r="H138" s="629"/>
      <c r="I138" s="630"/>
      <c r="J138" s="630"/>
      <c r="K138" s="630"/>
      <c r="L138" s="630"/>
      <c r="M138" s="631"/>
      <c r="N138" s="628"/>
      <c r="O138" s="629"/>
      <c r="P138" s="630"/>
      <c r="Q138" s="630"/>
      <c r="R138" s="630"/>
      <c r="S138" s="630"/>
      <c r="T138" s="631"/>
      <c r="U138" s="628"/>
      <c r="V138" s="629"/>
      <c r="W138" s="630"/>
      <c r="X138" s="630"/>
      <c r="Y138" s="630"/>
      <c r="Z138" s="630"/>
      <c r="AA138" s="631"/>
      <c r="AB138" s="628"/>
      <c r="AC138" s="629"/>
      <c r="AD138" s="630"/>
      <c r="AE138" s="630"/>
      <c r="AF138" s="630"/>
      <c r="AG138" s="630"/>
      <c r="AH138" s="631"/>
      <c r="AI138" s="648"/>
      <c r="AJ138" s="629"/>
      <c r="AK138" s="629"/>
      <c r="AL138" s="633">
        <f>SUM(G139:AK139)</f>
        <v>0</v>
      </c>
      <c r="AM138" s="634"/>
      <c r="AN138" s="635"/>
      <c r="AO138" s="636"/>
      <c r="AP138" s="634"/>
      <c r="AQ138" s="637"/>
      <c r="AR138" s="637"/>
    </row>
    <row r="139" spans="1:44" ht="15.9" customHeight="1" thickBot="1">
      <c r="A139" s="649"/>
      <c r="B139" s="1659"/>
      <c r="C139" s="1656"/>
      <c r="D139" s="1657"/>
      <c r="E139" s="1658"/>
      <c r="F139" s="638" t="s">
        <v>1234</v>
      </c>
      <c r="G139" s="639" t="str">
        <f t="shared" ref="G139:AK139" si="65">IF(G138&lt;&gt;"",VLOOKUP(G138,$AC$197:$AL$221,9,FALSE),"")</f>
        <v/>
      </c>
      <c r="H139" s="640" t="str">
        <f t="shared" si="65"/>
        <v/>
      </c>
      <c r="I139" s="640" t="str">
        <f t="shared" si="65"/>
        <v/>
      </c>
      <c r="J139" s="640" t="str">
        <f t="shared" si="65"/>
        <v/>
      </c>
      <c r="K139" s="640" t="str">
        <f t="shared" si="65"/>
        <v/>
      </c>
      <c r="L139" s="640" t="str">
        <f t="shared" si="65"/>
        <v/>
      </c>
      <c r="M139" s="641" t="str">
        <f t="shared" si="65"/>
        <v/>
      </c>
      <c r="N139" s="639" t="str">
        <f t="shared" si="65"/>
        <v/>
      </c>
      <c r="O139" s="640" t="str">
        <f t="shared" si="65"/>
        <v/>
      </c>
      <c r="P139" s="640" t="str">
        <f t="shared" si="65"/>
        <v/>
      </c>
      <c r="Q139" s="640" t="str">
        <f t="shared" si="65"/>
        <v/>
      </c>
      <c r="R139" s="640" t="str">
        <f t="shared" si="65"/>
        <v/>
      </c>
      <c r="S139" s="640" t="str">
        <f t="shared" si="65"/>
        <v/>
      </c>
      <c r="T139" s="641" t="str">
        <f t="shared" si="65"/>
        <v/>
      </c>
      <c r="U139" s="639" t="str">
        <f t="shared" si="65"/>
        <v/>
      </c>
      <c r="V139" s="640" t="str">
        <f t="shared" si="65"/>
        <v/>
      </c>
      <c r="W139" s="640" t="str">
        <f t="shared" si="65"/>
        <v/>
      </c>
      <c r="X139" s="640" t="str">
        <f t="shared" si="65"/>
        <v/>
      </c>
      <c r="Y139" s="640" t="str">
        <f t="shared" si="65"/>
        <v/>
      </c>
      <c r="Z139" s="640" t="str">
        <f t="shared" si="65"/>
        <v/>
      </c>
      <c r="AA139" s="641" t="str">
        <f t="shared" si="65"/>
        <v/>
      </c>
      <c r="AB139" s="639" t="str">
        <f t="shared" si="65"/>
        <v/>
      </c>
      <c r="AC139" s="640" t="str">
        <f t="shared" si="65"/>
        <v/>
      </c>
      <c r="AD139" s="640" t="str">
        <f t="shared" si="65"/>
        <v/>
      </c>
      <c r="AE139" s="640" t="str">
        <f t="shared" si="65"/>
        <v/>
      </c>
      <c r="AF139" s="640" t="str">
        <f t="shared" si="65"/>
        <v/>
      </c>
      <c r="AG139" s="640" t="str">
        <f t="shared" si="65"/>
        <v/>
      </c>
      <c r="AH139" s="641" t="str">
        <f t="shared" si="65"/>
        <v/>
      </c>
      <c r="AI139" s="642" t="str">
        <f t="shared" si="65"/>
        <v/>
      </c>
      <c r="AJ139" s="640" t="str">
        <f t="shared" si="65"/>
        <v/>
      </c>
      <c r="AK139" s="640" t="str">
        <f t="shared" si="65"/>
        <v/>
      </c>
      <c r="AL139" s="643">
        <f>SUM(G139:AH139)</f>
        <v>0</v>
      </c>
      <c r="AM139" s="644">
        <f>AL139/4</f>
        <v>0</v>
      </c>
      <c r="AN139" s="645" t="str">
        <f>IF(C138="","",C138)</f>
        <v/>
      </c>
      <c r="AO139" s="646" t="str">
        <f>IF(D138="","",D138)</f>
        <v/>
      </c>
      <c r="AP139" s="647" t="str">
        <f>IF(D138&lt;&gt;"",VLOOKUP(D138,$AU$2:$AV$6,2,FALSE),"")</f>
        <v/>
      </c>
      <c r="AQ139" s="644" t="e">
        <f>ROUNDDOWN(AL139/$AL$6,2)</f>
        <v>#DIV/0!</v>
      </c>
      <c r="AR139" s="644" t="e">
        <f>IF(AP139=1,"",AQ139)</f>
        <v>#DIV/0!</v>
      </c>
    </row>
    <row r="140" spans="1:44" ht="15.9" customHeight="1" thickTop="1">
      <c r="A140" s="582"/>
      <c r="B140" s="650"/>
      <c r="C140" s="1640"/>
      <c r="D140" s="1642"/>
      <c r="E140" s="1644"/>
      <c r="F140" s="627" t="s">
        <v>1233</v>
      </c>
      <c r="G140" s="628"/>
      <c r="H140" s="629"/>
      <c r="I140" s="630"/>
      <c r="J140" s="630"/>
      <c r="K140" s="630"/>
      <c r="L140" s="630"/>
      <c r="M140" s="631"/>
      <c r="N140" s="628"/>
      <c r="O140" s="629"/>
      <c r="P140" s="630"/>
      <c r="Q140" s="630"/>
      <c r="R140" s="630"/>
      <c r="S140" s="630"/>
      <c r="T140" s="631"/>
      <c r="U140" s="628"/>
      <c r="V140" s="629"/>
      <c r="W140" s="630"/>
      <c r="X140" s="630"/>
      <c r="Y140" s="630"/>
      <c r="Z140" s="630"/>
      <c r="AA140" s="631"/>
      <c r="AB140" s="628"/>
      <c r="AC140" s="629"/>
      <c r="AD140" s="630"/>
      <c r="AE140" s="630"/>
      <c r="AF140" s="630"/>
      <c r="AG140" s="630"/>
      <c r="AH140" s="631"/>
      <c r="AI140" s="648"/>
      <c r="AJ140" s="629"/>
      <c r="AK140" s="629"/>
      <c r="AL140" s="633">
        <f>SUM(G141:AK141)</f>
        <v>0</v>
      </c>
      <c r="AM140" s="634"/>
      <c r="AN140" s="635"/>
      <c r="AO140" s="636"/>
      <c r="AP140" s="634"/>
      <c r="AQ140" s="637"/>
      <c r="AR140" s="637"/>
    </row>
    <row r="141" spans="1:44" ht="15.9" customHeight="1">
      <c r="A141" s="582"/>
      <c r="B141" s="650"/>
      <c r="C141" s="1641"/>
      <c r="D141" s="1643"/>
      <c r="E141" s="1645"/>
      <c r="F141" s="638" t="s">
        <v>1234</v>
      </c>
      <c r="G141" s="639" t="str">
        <f t="shared" ref="G141:AK141" si="66">IF(G140&lt;&gt;"",VLOOKUP(G140,$AC$197:$AL$221,9,FALSE),"")</f>
        <v/>
      </c>
      <c r="H141" s="640" t="str">
        <f t="shared" si="66"/>
        <v/>
      </c>
      <c r="I141" s="640" t="str">
        <f t="shared" si="66"/>
        <v/>
      </c>
      <c r="J141" s="640" t="str">
        <f t="shared" si="66"/>
        <v/>
      </c>
      <c r="K141" s="640" t="str">
        <f t="shared" si="66"/>
        <v/>
      </c>
      <c r="L141" s="640" t="str">
        <f t="shared" si="66"/>
        <v/>
      </c>
      <c r="M141" s="641" t="str">
        <f t="shared" si="66"/>
        <v/>
      </c>
      <c r="N141" s="639" t="str">
        <f t="shared" si="66"/>
        <v/>
      </c>
      <c r="O141" s="640" t="str">
        <f t="shared" si="66"/>
        <v/>
      </c>
      <c r="P141" s="640" t="str">
        <f t="shared" si="66"/>
        <v/>
      </c>
      <c r="Q141" s="640" t="str">
        <f t="shared" si="66"/>
        <v/>
      </c>
      <c r="R141" s="640" t="str">
        <f t="shared" si="66"/>
        <v/>
      </c>
      <c r="S141" s="640" t="str">
        <f t="shared" si="66"/>
        <v/>
      </c>
      <c r="T141" s="641" t="str">
        <f t="shared" si="66"/>
        <v/>
      </c>
      <c r="U141" s="639" t="str">
        <f t="shared" si="66"/>
        <v/>
      </c>
      <c r="V141" s="640" t="str">
        <f t="shared" si="66"/>
        <v/>
      </c>
      <c r="W141" s="640" t="str">
        <f t="shared" si="66"/>
        <v/>
      </c>
      <c r="X141" s="640" t="str">
        <f t="shared" si="66"/>
        <v/>
      </c>
      <c r="Y141" s="640" t="str">
        <f t="shared" si="66"/>
        <v/>
      </c>
      <c r="Z141" s="640" t="str">
        <f t="shared" si="66"/>
        <v/>
      </c>
      <c r="AA141" s="641" t="str">
        <f t="shared" si="66"/>
        <v/>
      </c>
      <c r="AB141" s="639" t="str">
        <f t="shared" si="66"/>
        <v/>
      </c>
      <c r="AC141" s="640" t="str">
        <f t="shared" si="66"/>
        <v/>
      </c>
      <c r="AD141" s="640" t="str">
        <f t="shared" si="66"/>
        <v/>
      </c>
      <c r="AE141" s="640" t="str">
        <f t="shared" si="66"/>
        <v/>
      </c>
      <c r="AF141" s="640" t="str">
        <f t="shared" si="66"/>
        <v/>
      </c>
      <c r="AG141" s="640" t="str">
        <f t="shared" si="66"/>
        <v/>
      </c>
      <c r="AH141" s="641" t="str">
        <f t="shared" si="66"/>
        <v/>
      </c>
      <c r="AI141" s="642" t="str">
        <f t="shared" si="66"/>
        <v/>
      </c>
      <c r="AJ141" s="640" t="str">
        <f t="shared" si="66"/>
        <v/>
      </c>
      <c r="AK141" s="640" t="str">
        <f t="shared" si="66"/>
        <v/>
      </c>
      <c r="AL141" s="643">
        <f>SUM(G141:AH141)</f>
        <v>0</v>
      </c>
      <c r="AM141" s="651">
        <f>AL141/4</f>
        <v>0</v>
      </c>
      <c r="AN141" s="645" t="str">
        <f>IF(C140="","",C140)</f>
        <v/>
      </c>
      <c r="AO141" s="646" t="str">
        <f>IF(D140="","",D140)</f>
        <v/>
      </c>
      <c r="AP141" s="647" t="str">
        <f>IF(D140&lt;&gt;"",VLOOKUP(D140,$AU$2:$AV$6,2,FALSE),"")</f>
        <v/>
      </c>
      <c r="AQ141" s="644" t="e">
        <f>ROUNDDOWN(AL141/$AL$6,2)</f>
        <v>#DIV/0!</v>
      </c>
      <c r="AR141" s="644" t="e">
        <f>IF(AP141=1,"",AQ141)</f>
        <v>#DIV/0!</v>
      </c>
    </row>
    <row r="142" spans="1:44" ht="8.25" customHeight="1">
      <c r="A142" s="582"/>
      <c r="B142" s="650"/>
      <c r="C142" s="652"/>
      <c r="D142" s="653"/>
      <c r="E142" s="654"/>
      <c r="F142" s="655"/>
      <c r="G142" s="656"/>
      <c r="H142" s="657"/>
      <c r="I142" s="657"/>
      <c r="J142" s="657"/>
      <c r="K142" s="657"/>
      <c r="L142" s="657"/>
      <c r="M142" s="658"/>
      <c r="N142" s="656"/>
      <c r="O142" s="657"/>
      <c r="P142" s="657"/>
      <c r="Q142" s="657"/>
      <c r="R142" s="657"/>
      <c r="S142" s="657"/>
      <c r="T142" s="658"/>
      <c r="U142" s="656"/>
      <c r="V142" s="657"/>
      <c r="W142" s="657"/>
      <c r="X142" s="657"/>
      <c r="Y142" s="657"/>
      <c r="Z142" s="657"/>
      <c r="AA142" s="658"/>
      <c r="AB142" s="656"/>
      <c r="AC142" s="657"/>
      <c r="AD142" s="657"/>
      <c r="AE142" s="657"/>
      <c r="AF142" s="657"/>
      <c r="AG142" s="657"/>
      <c r="AH142" s="658"/>
      <c r="AI142" s="659"/>
      <c r="AJ142" s="657"/>
      <c r="AK142" s="657"/>
      <c r="AL142" s="660"/>
      <c r="AM142" s="661"/>
      <c r="AN142" s="662"/>
      <c r="AO142" s="663"/>
      <c r="AP142" s="664"/>
      <c r="AQ142" s="660"/>
      <c r="AR142" s="660"/>
    </row>
    <row r="143" spans="1:44" ht="15.9" customHeight="1">
      <c r="A143" s="582"/>
      <c r="B143" s="650"/>
      <c r="C143" s="1646" t="s">
        <v>1299</v>
      </c>
      <c r="D143" s="1647"/>
      <c r="E143" s="1648"/>
      <c r="F143" s="665" t="str">
        <f>AC197</f>
        <v>夜</v>
      </c>
      <c r="G143" s="666">
        <f>COUNTIF(G10:G142,$F$143)</f>
        <v>0</v>
      </c>
      <c r="H143" s="667">
        <f t="shared" ref="H143:AK143" si="67">COUNTIF(H10:H142,$F$143)</f>
        <v>0</v>
      </c>
      <c r="I143" s="667">
        <f t="shared" si="67"/>
        <v>0</v>
      </c>
      <c r="J143" s="667">
        <f t="shared" si="67"/>
        <v>0</v>
      </c>
      <c r="K143" s="667">
        <f t="shared" si="67"/>
        <v>0</v>
      </c>
      <c r="L143" s="667">
        <f t="shared" si="67"/>
        <v>0</v>
      </c>
      <c r="M143" s="668">
        <f t="shared" si="67"/>
        <v>0</v>
      </c>
      <c r="N143" s="666">
        <f t="shared" si="67"/>
        <v>0</v>
      </c>
      <c r="O143" s="667">
        <f t="shared" si="67"/>
        <v>0</v>
      </c>
      <c r="P143" s="667">
        <f t="shared" si="67"/>
        <v>0</v>
      </c>
      <c r="Q143" s="667">
        <f t="shared" si="67"/>
        <v>0</v>
      </c>
      <c r="R143" s="667">
        <f t="shared" si="67"/>
        <v>0</v>
      </c>
      <c r="S143" s="667">
        <f t="shared" si="67"/>
        <v>0</v>
      </c>
      <c r="T143" s="668">
        <f t="shared" si="67"/>
        <v>0</v>
      </c>
      <c r="U143" s="666">
        <f t="shared" si="67"/>
        <v>0</v>
      </c>
      <c r="V143" s="667">
        <f t="shared" si="67"/>
        <v>0</v>
      </c>
      <c r="W143" s="667">
        <f t="shared" si="67"/>
        <v>0</v>
      </c>
      <c r="X143" s="667">
        <f t="shared" si="67"/>
        <v>0</v>
      </c>
      <c r="Y143" s="667">
        <f t="shared" si="67"/>
        <v>0</v>
      </c>
      <c r="Z143" s="667">
        <f t="shared" si="67"/>
        <v>0</v>
      </c>
      <c r="AA143" s="668">
        <f t="shared" si="67"/>
        <v>0</v>
      </c>
      <c r="AB143" s="666">
        <f t="shared" si="67"/>
        <v>0</v>
      </c>
      <c r="AC143" s="667">
        <f t="shared" si="67"/>
        <v>0</v>
      </c>
      <c r="AD143" s="667">
        <f t="shared" si="67"/>
        <v>0</v>
      </c>
      <c r="AE143" s="667">
        <f t="shared" si="67"/>
        <v>0</v>
      </c>
      <c r="AF143" s="667">
        <f t="shared" si="67"/>
        <v>0</v>
      </c>
      <c r="AG143" s="667">
        <f t="shared" si="67"/>
        <v>0</v>
      </c>
      <c r="AH143" s="668">
        <f t="shared" si="67"/>
        <v>0</v>
      </c>
      <c r="AI143" s="669">
        <f t="shared" si="67"/>
        <v>0</v>
      </c>
      <c r="AJ143" s="667">
        <f t="shared" si="67"/>
        <v>0</v>
      </c>
      <c r="AK143" s="667">
        <f t="shared" si="67"/>
        <v>0</v>
      </c>
      <c r="AL143" s="670">
        <f>SUM(G143:AK143)</f>
        <v>0</v>
      </c>
      <c r="AM143" s="671"/>
      <c r="AN143" s="672"/>
      <c r="AO143" s="673"/>
      <c r="AP143" s="674"/>
      <c r="AQ143" s="675"/>
      <c r="AR143" s="675"/>
    </row>
    <row r="144" spans="1:44" ht="15.9" customHeight="1">
      <c r="A144" s="582"/>
      <c r="B144" s="676"/>
      <c r="C144" s="677"/>
      <c r="D144" s="677"/>
      <c r="E144" s="677"/>
      <c r="F144" s="678"/>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79"/>
      <c r="AD144" s="679"/>
      <c r="AE144" s="679"/>
      <c r="AF144" s="679"/>
      <c r="AG144" s="679"/>
      <c r="AH144" s="679"/>
      <c r="AI144" s="679"/>
      <c r="AJ144" s="679"/>
      <c r="AK144" s="679"/>
      <c r="AL144" s="680"/>
      <c r="AM144" s="681"/>
      <c r="AN144" s="682"/>
      <c r="AO144" s="682"/>
      <c r="AP144" s="681"/>
      <c r="AQ144" s="681"/>
      <c r="AR144" s="681"/>
    </row>
    <row r="145" spans="1:48" ht="15.9" customHeight="1">
      <c r="A145" s="582"/>
      <c r="B145" s="650"/>
      <c r="C145" s="583" t="s">
        <v>1300</v>
      </c>
      <c r="D145" s="683"/>
      <c r="E145" s="683"/>
      <c r="F145" s="684"/>
      <c r="G145" s="685"/>
      <c r="H145" s="685"/>
      <c r="I145" s="685"/>
      <c r="J145" s="685"/>
      <c r="K145" s="685"/>
      <c r="L145" s="685"/>
      <c r="M145" s="685"/>
      <c r="N145" s="685"/>
      <c r="O145" s="685"/>
      <c r="P145" s="685"/>
      <c r="Q145" s="685"/>
      <c r="R145" s="685"/>
      <c r="S145" s="685"/>
      <c r="T145" s="685"/>
      <c r="U145" s="685"/>
      <c r="V145" s="685"/>
      <c r="W145" s="685"/>
      <c r="X145" s="685"/>
      <c r="Y145" s="685"/>
      <c r="Z145" s="685"/>
      <c r="AA145" s="685"/>
      <c r="AB145" s="685"/>
      <c r="AC145" s="685"/>
      <c r="AD145" s="685"/>
      <c r="AE145" s="685"/>
      <c r="AF145" s="685"/>
      <c r="AG145" s="685"/>
      <c r="AH145" s="685"/>
      <c r="AI145" s="685"/>
      <c r="AJ145" s="685"/>
      <c r="AK145" s="685"/>
      <c r="AP145" s="686"/>
      <c r="AQ145" s="686"/>
      <c r="AR145" s="686"/>
    </row>
    <row r="146" spans="1:48">
      <c r="A146" s="582"/>
      <c r="B146" s="650"/>
      <c r="C146" s="592"/>
      <c r="D146" s="683"/>
      <c r="E146" s="683"/>
      <c r="F146" s="684"/>
      <c r="G146" s="685"/>
      <c r="H146" s="685"/>
      <c r="I146" s="685"/>
      <c r="J146" s="685"/>
      <c r="K146" s="685"/>
      <c r="L146" s="685"/>
      <c r="M146" s="685"/>
      <c r="N146" s="685"/>
      <c r="O146" s="685"/>
      <c r="P146" s="685"/>
      <c r="Q146" s="685"/>
      <c r="R146" s="685"/>
      <c r="S146" s="687"/>
      <c r="T146" s="685"/>
      <c r="U146" s="685"/>
      <c r="V146" s="685"/>
      <c r="W146" s="685"/>
      <c r="X146" s="685"/>
      <c r="Y146" s="1649" t="s">
        <v>1301</v>
      </c>
      <c r="Z146" s="1649"/>
      <c r="AA146" s="1649"/>
      <c r="AB146" s="1649"/>
      <c r="AC146" s="685"/>
      <c r="AD146" s="1650" t="s">
        <v>1302</v>
      </c>
      <c r="AE146" s="1651"/>
      <c r="AF146" s="1651"/>
      <c r="AG146" s="1651"/>
      <c r="AH146" s="1651"/>
      <c r="AI146" s="1651"/>
      <c r="AJ146" s="1651"/>
      <c r="AK146" s="1651"/>
      <c r="AL146" s="1651"/>
      <c r="AM146" s="688"/>
      <c r="AN146" s="688"/>
      <c r="AO146" s="688"/>
      <c r="AP146" s="686"/>
      <c r="AQ146" s="686"/>
      <c r="AR146" s="686"/>
    </row>
    <row r="147" spans="1:48" s="690" customFormat="1" ht="12.6" thickBot="1">
      <c r="A147" s="683"/>
      <c r="B147" s="650"/>
      <c r="C147" s="684" t="s">
        <v>1207</v>
      </c>
      <c r="D147" s="683"/>
      <c r="E147" s="683"/>
      <c r="F147" s="1652" t="s">
        <v>1303</v>
      </c>
      <c r="G147" s="1652"/>
      <c r="H147" s="1652"/>
      <c r="I147" s="1652"/>
      <c r="J147" s="685"/>
      <c r="K147" s="685"/>
      <c r="L147" s="1653" t="s">
        <v>1304</v>
      </c>
      <c r="M147" s="1653"/>
      <c r="N147" s="1653"/>
      <c r="O147" s="1653"/>
      <c r="P147" s="689"/>
      <c r="Q147" s="689"/>
      <c r="R147" s="689"/>
      <c r="S147" s="1652" t="s">
        <v>1305</v>
      </c>
      <c r="T147" s="1652"/>
      <c r="U147" s="1652"/>
      <c r="V147" s="1652"/>
      <c r="W147" s="1652"/>
      <c r="X147" s="685"/>
      <c r="Y147" s="1654" t="s">
        <v>1306</v>
      </c>
      <c r="Z147" s="1654"/>
      <c r="AA147" s="1654"/>
      <c r="AB147" s="1654"/>
      <c r="AC147" s="685"/>
      <c r="AD147" s="1651"/>
      <c r="AE147" s="1651"/>
      <c r="AF147" s="1651"/>
      <c r="AG147" s="1651"/>
      <c r="AH147" s="1651"/>
      <c r="AI147" s="1651"/>
      <c r="AJ147" s="1651"/>
      <c r="AK147" s="1651"/>
      <c r="AL147" s="1651"/>
      <c r="AM147" s="688"/>
      <c r="AN147" s="688"/>
      <c r="AO147" s="686"/>
      <c r="AP147" s="686"/>
      <c r="AQ147" s="683"/>
      <c r="AR147" s="686"/>
      <c r="AS147" s="683"/>
      <c r="AT147" s="683"/>
      <c r="AU147" s="683"/>
      <c r="AV147" s="683"/>
    </row>
    <row r="148" spans="1:48" s="690" customFormat="1" ht="14.25" customHeight="1" thickBot="1">
      <c r="A148" s="683"/>
      <c r="B148" s="650"/>
      <c r="C148" s="691">
        <f>C4</f>
        <v>45383</v>
      </c>
      <c r="D148" s="683"/>
      <c r="E148" s="683"/>
      <c r="F148" s="683"/>
      <c r="G148" s="1629">
        <f>AN176</f>
        <v>0</v>
      </c>
      <c r="H148" s="1630"/>
      <c r="I148" s="1631"/>
      <c r="J148" s="683"/>
      <c r="K148" s="683"/>
      <c r="L148" s="683"/>
      <c r="M148" s="1632">
        <f>C149</f>
        <v>30</v>
      </c>
      <c r="N148" s="1633"/>
      <c r="O148" s="692" t="s">
        <v>1223</v>
      </c>
      <c r="P148" s="684" t="s">
        <v>1307</v>
      </c>
      <c r="Q148" s="1634">
        <v>16</v>
      </c>
      <c r="R148" s="1635"/>
      <c r="S148" s="692" t="s">
        <v>1234</v>
      </c>
      <c r="T148" s="685" t="s">
        <v>1308</v>
      </c>
      <c r="U148" s="1632">
        <f>M148*Q148</f>
        <v>480</v>
      </c>
      <c r="V148" s="1633"/>
      <c r="W148" s="693" t="s">
        <v>1234</v>
      </c>
      <c r="X148" s="685"/>
      <c r="Y148" s="1636">
        <f>ROUNDDOWN(G148/U148,2)</f>
        <v>0</v>
      </c>
      <c r="Z148" s="1637"/>
      <c r="AA148" s="1637"/>
      <c r="AB148" s="694" t="s">
        <v>1309</v>
      </c>
      <c r="AC148" s="695" t="s">
        <v>1310</v>
      </c>
      <c r="AD148" s="1638">
        <f>AG148+AJ148</f>
        <v>0</v>
      </c>
      <c r="AE148" s="1639"/>
      <c r="AF148" s="685" t="s">
        <v>1311</v>
      </c>
      <c r="AG148" s="1619"/>
      <c r="AH148" s="1619"/>
      <c r="AI148" s="685" t="s">
        <v>1312</v>
      </c>
      <c r="AJ148" s="1619"/>
      <c r="AK148" s="1619"/>
      <c r="AL148" s="687" t="s">
        <v>1313</v>
      </c>
      <c r="AM148" s="696" t="str">
        <f>IF(Y148&gt;=AD148,"ＯＫ","ＮＧ")</f>
        <v>ＯＫ</v>
      </c>
      <c r="AN148" s="688"/>
      <c r="AO148" s="686"/>
      <c r="AP148" s="686"/>
      <c r="AQ148" s="683"/>
      <c r="AR148" s="686"/>
      <c r="AS148" s="683"/>
      <c r="AT148" s="683"/>
      <c r="AU148" s="683"/>
      <c r="AV148" s="683"/>
    </row>
    <row r="149" spans="1:48" s="690" customFormat="1">
      <c r="A149" s="683"/>
      <c r="B149" s="650"/>
      <c r="C149" s="697">
        <f>DAY(EOMONTH(C148,0))</f>
        <v>30</v>
      </c>
      <c r="D149" s="698"/>
      <c r="E149" s="698"/>
      <c r="F149" s="699"/>
      <c r="G149" s="700"/>
      <c r="H149" s="700"/>
      <c r="I149" s="700"/>
      <c r="J149" s="700"/>
      <c r="K149" s="700"/>
      <c r="L149" s="700"/>
      <c r="M149" s="700"/>
      <c r="N149" s="700"/>
      <c r="O149" s="700"/>
      <c r="P149" s="700"/>
      <c r="Q149" s="700"/>
      <c r="R149" s="700"/>
      <c r="S149" s="700"/>
      <c r="T149" s="700"/>
      <c r="U149" s="700"/>
      <c r="V149" s="700"/>
      <c r="W149" s="700"/>
      <c r="X149" s="700"/>
      <c r="Y149" s="700"/>
      <c r="Z149" s="700"/>
      <c r="AA149" s="700"/>
      <c r="AB149" s="700"/>
      <c r="AC149" s="700"/>
      <c r="AD149" s="700"/>
      <c r="AE149" s="700"/>
      <c r="AF149" s="700"/>
      <c r="AG149" s="700"/>
      <c r="AH149" s="700"/>
      <c r="AI149" s="700"/>
      <c r="AJ149" s="700"/>
      <c r="AK149" s="700"/>
      <c r="AL149" s="701" t="s">
        <v>1314</v>
      </c>
      <c r="AM149" s="688" t="s">
        <v>1315</v>
      </c>
      <c r="AN149" s="1620" t="s">
        <v>1316</v>
      </c>
      <c r="AO149" s="1620"/>
      <c r="AP149" s="686"/>
      <c r="AQ149" s="686"/>
      <c r="AR149" s="686"/>
      <c r="AS149" s="683"/>
      <c r="AT149" s="683"/>
      <c r="AU149" s="683"/>
      <c r="AV149" s="683"/>
    </row>
    <row r="150" spans="1:48" ht="15.9" customHeight="1">
      <c r="A150" s="582"/>
      <c r="B150" s="650"/>
      <c r="C150" s="1621" t="s">
        <v>1317</v>
      </c>
      <c r="D150" s="1621"/>
      <c r="E150" s="1621"/>
      <c r="F150" s="1622"/>
      <c r="G150" s="702">
        <f>G8</f>
        <v>1</v>
      </c>
      <c r="H150" s="703">
        <f t="shared" ref="H150:AK150" si="68">H8</f>
        <v>2</v>
      </c>
      <c r="I150" s="703">
        <f t="shared" si="68"/>
        <v>3</v>
      </c>
      <c r="J150" s="703">
        <f t="shared" si="68"/>
        <v>4</v>
      </c>
      <c r="K150" s="703">
        <f t="shared" si="68"/>
        <v>5</v>
      </c>
      <c r="L150" s="703">
        <f t="shared" si="68"/>
        <v>6</v>
      </c>
      <c r="M150" s="704">
        <f t="shared" si="68"/>
        <v>7</v>
      </c>
      <c r="N150" s="702">
        <f t="shared" si="68"/>
        <v>8</v>
      </c>
      <c r="O150" s="703">
        <f t="shared" si="68"/>
        <v>9</v>
      </c>
      <c r="P150" s="703">
        <f t="shared" si="68"/>
        <v>10</v>
      </c>
      <c r="Q150" s="703">
        <f t="shared" si="68"/>
        <v>11</v>
      </c>
      <c r="R150" s="703">
        <f t="shared" si="68"/>
        <v>12</v>
      </c>
      <c r="S150" s="703">
        <f t="shared" si="68"/>
        <v>13</v>
      </c>
      <c r="T150" s="704">
        <f t="shared" si="68"/>
        <v>14</v>
      </c>
      <c r="U150" s="702">
        <f t="shared" si="68"/>
        <v>15</v>
      </c>
      <c r="V150" s="703">
        <f t="shared" si="68"/>
        <v>16</v>
      </c>
      <c r="W150" s="703">
        <f t="shared" si="68"/>
        <v>17</v>
      </c>
      <c r="X150" s="703">
        <f t="shared" si="68"/>
        <v>18</v>
      </c>
      <c r="Y150" s="703">
        <f t="shared" si="68"/>
        <v>19</v>
      </c>
      <c r="Z150" s="703">
        <f t="shared" si="68"/>
        <v>20</v>
      </c>
      <c r="AA150" s="704">
        <f t="shared" si="68"/>
        <v>21</v>
      </c>
      <c r="AB150" s="702">
        <f t="shared" si="68"/>
        <v>22</v>
      </c>
      <c r="AC150" s="703">
        <f t="shared" si="68"/>
        <v>23</v>
      </c>
      <c r="AD150" s="703">
        <f t="shared" si="68"/>
        <v>24</v>
      </c>
      <c r="AE150" s="703">
        <f t="shared" si="68"/>
        <v>25</v>
      </c>
      <c r="AF150" s="703">
        <f t="shared" si="68"/>
        <v>26</v>
      </c>
      <c r="AG150" s="703">
        <f t="shared" si="68"/>
        <v>27</v>
      </c>
      <c r="AH150" s="704">
        <f t="shared" si="68"/>
        <v>28</v>
      </c>
      <c r="AI150" s="702">
        <f t="shared" si="68"/>
        <v>29</v>
      </c>
      <c r="AJ150" s="703">
        <f t="shared" si="68"/>
        <v>30</v>
      </c>
      <c r="AK150" s="703">
        <f t="shared" si="68"/>
        <v>31</v>
      </c>
      <c r="AL150" s="705" t="s">
        <v>1318</v>
      </c>
      <c r="AM150" s="706" t="s">
        <v>1319</v>
      </c>
      <c r="AN150" s="1622" t="s">
        <v>1320</v>
      </c>
      <c r="AO150" s="1623"/>
      <c r="AP150" s="707"/>
      <c r="AQ150" s="686"/>
      <c r="AR150" s="686"/>
    </row>
    <row r="151" spans="1:48">
      <c r="A151" s="582"/>
      <c r="B151" s="650" t="s">
        <v>1321</v>
      </c>
      <c r="C151" s="1624" t="str">
        <f>CONCATENATE(AC197,"：",AD197,"（",AF197,AH197,AI197,"）",AK197,AM197)</f>
        <v>夜：夜勤（16：30～0：00）7.5ｈ</v>
      </c>
      <c r="D151" s="1625"/>
      <c r="E151" s="1626"/>
      <c r="F151" s="708" t="str">
        <f>IF(AC197="","",AC197)</f>
        <v>夜</v>
      </c>
      <c r="G151" s="709">
        <f>COUNTIF($G$10:$G$142,F151)</f>
        <v>0</v>
      </c>
      <c r="H151" s="710">
        <f>COUNTIF($H$10:$H$142,F151)</f>
        <v>0</v>
      </c>
      <c r="I151" s="710">
        <f>COUNTIF($I$10:$I$142,F151)</f>
        <v>0</v>
      </c>
      <c r="J151" s="710">
        <f>COUNTIF($J$10:$J$142,F151)</f>
        <v>0</v>
      </c>
      <c r="K151" s="710">
        <f>COUNTIF($K$10:$K$142,F151)</f>
        <v>0</v>
      </c>
      <c r="L151" s="710">
        <f>COUNTIF(L$10:L$142,F151)</f>
        <v>0</v>
      </c>
      <c r="M151" s="711">
        <f>COUNTIF(M$10:M$142,F151)</f>
        <v>0</v>
      </c>
      <c r="N151" s="709">
        <f>COUNTIF(N$10:N$142,F151)</f>
        <v>0</v>
      </c>
      <c r="O151" s="710">
        <f>COUNTIF(O$10:O$142,F151)</f>
        <v>0</v>
      </c>
      <c r="P151" s="710">
        <f>COUNTIF(P$10:P$142,F151)</f>
        <v>0</v>
      </c>
      <c r="Q151" s="710">
        <f>COUNTIF(Q$10:Q$142,F151)</f>
        <v>0</v>
      </c>
      <c r="R151" s="710">
        <f>COUNTIF(R$10:R$142,F151)</f>
        <v>0</v>
      </c>
      <c r="S151" s="710">
        <f>COUNTIF(S$10:S$142,F151)</f>
        <v>0</v>
      </c>
      <c r="T151" s="711">
        <f>COUNTIF(T$10:T$142,F151)</f>
        <v>0</v>
      </c>
      <c r="U151" s="709">
        <f>COUNTIF(U$10:U$142,F151)</f>
        <v>0</v>
      </c>
      <c r="V151" s="710">
        <f>COUNTIF(V$10:V$142,F151)</f>
        <v>0</v>
      </c>
      <c r="W151" s="710">
        <f>COUNTIF(W$10:W$142,F151)</f>
        <v>0</v>
      </c>
      <c r="X151" s="710">
        <f>COUNTIF(X$10:X$142,F151)</f>
        <v>0</v>
      </c>
      <c r="Y151" s="710">
        <f>COUNTIF(Y$10:Y$142,F151)</f>
        <v>0</v>
      </c>
      <c r="Z151" s="710">
        <f>COUNTIF(Z$10:Z$142,F151)</f>
        <v>0</v>
      </c>
      <c r="AA151" s="711">
        <f>COUNTIF(AA$10:AA$142,F151)</f>
        <v>0</v>
      </c>
      <c r="AB151" s="709">
        <f>COUNTIF(AB$10:AB$142,F151)</f>
        <v>0</v>
      </c>
      <c r="AC151" s="710">
        <f>COUNTIF(AC$10:AC$142,F151)</f>
        <v>0</v>
      </c>
      <c r="AD151" s="710">
        <f>COUNTIF(AD$10:AD$142,F151)</f>
        <v>0</v>
      </c>
      <c r="AE151" s="710">
        <f>COUNTIF(AE$10:AE$142,F151)</f>
        <v>0</v>
      </c>
      <c r="AF151" s="710">
        <f>COUNTIF(AF$10:AF$142,F151)</f>
        <v>0</v>
      </c>
      <c r="AG151" s="710">
        <f>COUNTIF(AG$10:AG$142,F151)</f>
        <v>0</v>
      </c>
      <c r="AH151" s="711">
        <f>COUNTIF(AH$10:AH$142,F151)</f>
        <v>0</v>
      </c>
      <c r="AI151" s="712">
        <f>COUNTIF(AI$10:AI$142,F151)</f>
        <v>0</v>
      </c>
      <c r="AJ151" s="710">
        <f>COUNTIF(AJ$10:AJ$142,F151)</f>
        <v>0</v>
      </c>
      <c r="AK151" s="710">
        <f>COUNTIF(AK$10:AK$142,F151)</f>
        <v>0</v>
      </c>
      <c r="AL151" s="713">
        <f>SUM(G151:AK151)</f>
        <v>0</v>
      </c>
      <c r="AM151" s="714">
        <f>IF(AR197="","",AR197)</f>
        <v>7.5</v>
      </c>
      <c r="AN151" s="1627">
        <f>AL151*AM151</f>
        <v>0</v>
      </c>
      <c r="AO151" s="1628"/>
      <c r="AP151" s="707"/>
      <c r="AQ151" s="686"/>
      <c r="AR151" s="686"/>
    </row>
    <row r="152" spans="1:48">
      <c r="A152" s="582"/>
      <c r="B152" s="650" t="s">
        <v>1322</v>
      </c>
      <c r="C152" s="1608" t="str">
        <f t="shared" ref="C152:C175" si="69">CONCATENATE(AC198,"：",AD198,"（",AF198,AH198,AI198,"）",AK198,AM198)</f>
        <v>明：明け（0：00～9：15）7.25ｈ</v>
      </c>
      <c r="D152" s="1609"/>
      <c r="E152" s="1610"/>
      <c r="F152" s="715" t="str">
        <f t="shared" ref="F152:F175" si="70">IF(AC198="","",AC198)</f>
        <v>明</v>
      </c>
      <c r="G152" s="716">
        <f t="shared" ref="G152:G175" si="71">COUNTIF($G$10:$G$142,F152)</f>
        <v>0</v>
      </c>
      <c r="H152" s="717">
        <f t="shared" ref="H152:H175" si="72">COUNTIF($H$10:$H$142,F152)</f>
        <v>0</v>
      </c>
      <c r="I152" s="717">
        <f t="shared" ref="I152:I175" si="73">COUNTIF($I$10:$I$142,F152)</f>
        <v>0</v>
      </c>
      <c r="J152" s="717">
        <f t="shared" ref="J152:J175" si="74">COUNTIF($J$10:$J$142,F152)</f>
        <v>0</v>
      </c>
      <c r="K152" s="717">
        <f t="shared" ref="K152:K175" si="75">COUNTIF($K$10:$K$142,F152)</f>
        <v>0</v>
      </c>
      <c r="L152" s="717">
        <f t="shared" ref="L152:L175" si="76">COUNTIF(L$10:L$142,F152)</f>
        <v>0</v>
      </c>
      <c r="M152" s="718">
        <f t="shared" ref="M152:M175" si="77">COUNTIF(M$10:M$142,F152)</f>
        <v>0</v>
      </c>
      <c r="N152" s="716">
        <f t="shared" ref="N152:N175" si="78">COUNTIF(N$10:N$142,F152)</f>
        <v>0</v>
      </c>
      <c r="O152" s="717">
        <f t="shared" ref="O152:O175" si="79">COUNTIF(O$10:O$142,F152)</f>
        <v>0</v>
      </c>
      <c r="P152" s="717">
        <f t="shared" ref="P152:P175" si="80">COUNTIF(P$10:P$142,F152)</f>
        <v>0</v>
      </c>
      <c r="Q152" s="717">
        <f t="shared" ref="Q152:Q175" si="81">COUNTIF(Q$10:Q$142,F152)</f>
        <v>0</v>
      </c>
      <c r="R152" s="717">
        <f t="shared" ref="R152:R175" si="82">COUNTIF(R$10:R$142,F152)</f>
        <v>0</v>
      </c>
      <c r="S152" s="717">
        <f t="shared" ref="S152:S175" si="83">COUNTIF(S$10:S$142,F152)</f>
        <v>0</v>
      </c>
      <c r="T152" s="718">
        <f t="shared" ref="T152:T175" si="84">COUNTIF(T$10:T$142,F152)</f>
        <v>0</v>
      </c>
      <c r="U152" s="716">
        <f t="shared" ref="U152:U175" si="85">COUNTIF(U$10:U$142,F152)</f>
        <v>0</v>
      </c>
      <c r="V152" s="717">
        <f t="shared" ref="V152:V175" si="86">COUNTIF(V$10:V$142,F152)</f>
        <v>0</v>
      </c>
      <c r="W152" s="717">
        <f t="shared" ref="W152:W175" si="87">COUNTIF(W$10:W$142,F152)</f>
        <v>0</v>
      </c>
      <c r="X152" s="717">
        <f t="shared" ref="X152:X175" si="88">COUNTIF(X$10:X$142,F152)</f>
        <v>0</v>
      </c>
      <c r="Y152" s="717">
        <f t="shared" ref="Y152:Y175" si="89">COUNTIF(Y$10:Y$142,F152)</f>
        <v>0</v>
      </c>
      <c r="Z152" s="717">
        <f t="shared" ref="Z152:Z175" si="90">COUNTIF(Z$10:Z$142,F152)</f>
        <v>0</v>
      </c>
      <c r="AA152" s="718">
        <f t="shared" ref="AA152:AA175" si="91">COUNTIF(AA$10:AA$142,F152)</f>
        <v>0</v>
      </c>
      <c r="AB152" s="716">
        <f t="shared" ref="AB152:AB175" si="92">COUNTIF(AB$10:AB$142,F152)</f>
        <v>0</v>
      </c>
      <c r="AC152" s="717">
        <f t="shared" ref="AC152:AC175" si="93">COUNTIF(AC$10:AC$142,F152)</f>
        <v>0</v>
      </c>
      <c r="AD152" s="717">
        <f t="shared" ref="AD152:AD175" si="94">COUNTIF(AD$10:AD$142,F152)</f>
        <v>0</v>
      </c>
      <c r="AE152" s="717">
        <f t="shared" ref="AE152:AE175" si="95">COUNTIF(AE$10:AE$142,F152)</f>
        <v>0</v>
      </c>
      <c r="AF152" s="717">
        <f t="shared" ref="AF152:AF175" si="96">COUNTIF(AF$10:AF$142,F152)</f>
        <v>0</v>
      </c>
      <c r="AG152" s="717">
        <f t="shared" ref="AG152:AG175" si="97">COUNTIF(AG$10:AG$142,F152)</f>
        <v>0</v>
      </c>
      <c r="AH152" s="718">
        <f t="shared" ref="AH152:AH175" si="98">COUNTIF(AH$10:AH$142,F152)</f>
        <v>0</v>
      </c>
      <c r="AI152" s="719">
        <f t="shared" ref="AI152:AI175" si="99">COUNTIF(AI$10:AI$142,F152)</f>
        <v>0</v>
      </c>
      <c r="AJ152" s="717">
        <f t="shared" ref="AJ152:AJ175" si="100">COUNTIF(AJ$10:AJ$142,F152)</f>
        <v>0</v>
      </c>
      <c r="AK152" s="717">
        <f t="shared" ref="AK152:AK175" si="101">COUNTIF(AK$10:AK$142,F152)</f>
        <v>0</v>
      </c>
      <c r="AL152" s="720">
        <f t="shared" ref="AL152:AL175" si="102">SUM(G152:AK152)</f>
        <v>0</v>
      </c>
      <c r="AM152" s="721">
        <f t="shared" ref="AM152:AM175" si="103">IF(AR198="","",AR198)</f>
        <v>7.25</v>
      </c>
      <c r="AN152" s="1611">
        <f t="shared" ref="AN152:AN175" si="104">AL152*AM152</f>
        <v>0</v>
      </c>
      <c r="AO152" s="1618"/>
      <c r="AP152" s="707"/>
      <c r="AQ152" s="686"/>
      <c r="AR152" s="686"/>
    </row>
    <row r="153" spans="1:48">
      <c r="A153" s="582"/>
      <c r="B153" s="650" t="s">
        <v>1323</v>
      </c>
      <c r="C153" s="1608" t="str">
        <f t="shared" si="69"/>
        <v>①：日勤Ａ（8：40～17：15）7.75ｈ</v>
      </c>
      <c r="D153" s="1609"/>
      <c r="E153" s="1610"/>
      <c r="F153" s="715" t="str">
        <f t="shared" si="70"/>
        <v>①</v>
      </c>
      <c r="G153" s="716">
        <f t="shared" si="71"/>
        <v>0</v>
      </c>
      <c r="H153" s="717">
        <f t="shared" si="72"/>
        <v>0</v>
      </c>
      <c r="I153" s="717">
        <f t="shared" si="73"/>
        <v>0</v>
      </c>
      <c r="J153" s="717">
        <f t="shared" si="74"/>
        <v>0</v>
      </c>
      <c r="K153" s="717">
        <f t="shared" si="75"/>
        <v>0</v>
      </c>
      <c r="L153" s="717">
        <f t="shared" si="76"/>
        <v>0</v>
      </c>
      <c r="M153" s="718">
        <f t="shared" si="77"/>
        <v>0</v>
      </c>
      <c r="N153" s="716">
        <f t="shared" si="78"/>
        <v>0</v>
      </c>
      <c r="O153" s="717">
        <f t="shared" si="79"/>
        <v>0</v>
      </c>
      <c r="P153" s="717">
        <f t="shared" si="80"/>
        <v>0</v>
      </c>
      <c r="Q153" s="717">
        <f t="shared" si="81"/>
        <v>0</v>
      </c>
      <c r="R153" s="717">
        <f t="shared" si="82"/>
        <v>0</v>
      </c>
      <c r="S153" s="717">
        <f t="shared" si="83"/>
        <v>0</v>
      </c>
      <c r="T153" s="718">
        <f t="shared" si="84"/>
        <v>0</v>
      </c>
      <c r="U153" s="716">
        <f t="shared" si="85"/>
        <v>0</v>
      </c>
      <c r="V153" s="717">
        <f t="shared" si="86"/>
        <v>0</v>
      </c>
      <c r="W153" s="717">
        <f t="shared" si="87"/>
        <v>0</v>
      </c>
      <c r="X153" s="717">
        <f t="shared" si="88"/>
        <v>0</v>
      </c>
      <c r="Y153" s="717">
        <f t="shared" si="89"/>
        <v>0</v>
      </c>
      <c r="Z153" s="717">
        <f t="shared" si="90"/>
        <v>0</v>
      </c>
      <c r="AA153" s="718">
        <f t="shared" si="91"/>
        <v>0</v>
      </c>
      <c r="AB153" s="716">
        <f t="shared" si="92"/>
        <v>0</v>
      </c>
      <c r="AC153" s="717">
        <f t="shared" si="93"/>
        <v>0</v>
      </c>
      <c r="AD153" s="717">
        <f t="shared" si="94"/>
        <v>0</v>
      </c>
      <c r="AE153" s="717">
        <f t="shared" si="95"/>
        <v>0</v>
      </c>
      <c r="AF153" s="717">
        <f t="shared" si="96"/>
        <v>0</v>
      </c>
      <c r="AG153" s="717">
        <f t="shared" si="97"/>
        <v>0</v>
      </c>
      <c r="AH153" s="718">
        <f t="shared" si="98"/>
        <v>0</v>
      </c>
      <c r="AI153" s="719">
        <f t="shared" si="99"/>
        <v>0</v>
      </c>
      <c r="AJ153" s="717">
        <f t="shared" si="100"/>
        <v>0</v>
      </c>
      <c r="AK153" s="717">
        <f t="shared" si="101"/>
        <v>0</v>
      </c>
      <c r="AL153" s="720">
        <f t="shared" si="102"/>
        <v>0</v>
      </c>
      <c r="AM153" s="721">
        <f t="shared" si="103"/>
        <v>1.33</v>
      </c>
      <c r="AN153" s="1611">
        <f t="shared" si="104"/>
        <v>0</v>
      </c>
      <c r="AO153" s="1612"/>
      <c r="AP153" s="686"/>
      <c r="AQ153" s="686"/>
      <c r="AR153" s="686"/>
    </row>
    <row r="154" spans="1:48">
      <c r="A154" s="582"/>
      <c r="B154" s="650" t="s">
        <v>1324</v>
      </c>
      <c r="C154" s="1608" t="str">
        <f t="shared" si="69"/>
        <v>②：早出（7：10～15：45）7.75ｈ</v>
      </c>
      <c r="D154" s="1609"/>
      <c r="E154" s="1610"/>
      <c r="F154" s="715" t="str">
        <f t="shared" si="70"/>
        <v>②</v>
      </c>
      <c r="G154" s="716">
        <f t="shared" si="71"/>
        <v>0</v>
      </c>
      <c r="H154" s="717">
        <f t="shared" si="72"/>
        <v>0</v>
      </c>
      <c r="I154" s="717">
        <f t="shared" si="73"/>
        <v>0</v>
      </c>
      <c r="J154" s="717">
        <f t="shared" si="74"/>
        <v>0</v>
      </c>
      <c r="K154" s="717">
        <f t="shared" si="75"/>
        <v>0</v>
      </c>
      <c r="L154" s="717">
        <f t="shared" si="76"/>
        <v>0</v>
      </c>
      <c r="M154" s="718">
        <f t="shared" si="77"/>
        <v>0</v>
      </c>
      <c r="N154" s="716">
        <f t="shared" si="78"/>
        <v>0</v>
      </c>
      <c r="O154" s="717">
        <f t="shared" si="79"/>
        <v>0</v>
      </c>
      <c r="P154" s="717">
        <f t="shared" si="80"/>
        <v>0</v>
      </c>
      <c r="Q154" s="717">
        <f t="shared" si="81"/>
        <v>0</v>
      </c>
      <c r="R154" s="717">
        <f t="shared" si="82"/>
        <v>0</v>
      </c>
      <c r="S154" s="717">
        <f t="shared" si="83"/>
        <v>0</v>
      </c>
      <c r="T154" s="718">
        <f t="shared" si="84"/>
        <v>0</v>
      </c>
      <c r="U154" s="716">
        <f t="shared" si="85"/>
        <v>0</v>
      </c>
      <c r="V154" s="717">
        <f t="shared" si="86"/>
        <v>0</v>
      </c>
      <c r="W154" s="717">
        <f t="shared" si="87"/>
        <v>0</v>
      </c>
      <c r="X154" s="717">
        <f t="shared" si="88"/>
        <v>0</v>
      </c>
      <c r="Y154" s="717">
        <f t="shared" si="89"/>
        <v>0</v>
      </c>
      <c r="Z154" s="717">
        <f t="shared" si="90"/>
        <v>0</v>
      </c>
      <c r="AA154" s="718">
        <f t="shared" si="91"/>
        <v>0</v>
      </c>
      <c r="AB154" s="716">
        <f t="shared" si="92"/>
        <v>0</v>
      </c>
      <c r="AC154" s="717">
        <f t="shared" si="93"/>
        <v>0</v>
      </c>
      <c r="AD154" s="717">
        <f t="shared" si="94"/>
        <v>0</v>
      </c>
      <c r="AE154" s="717">
        <f t="shared" si="95"/>
        <v>0</v>
      </c>
      <c r="AF154" s="717">
        <f t="shared" si="96"/>
        <v>0</v>
      </c>
      <c r="AG154" s="717">
        <f t="shared" si="97"/>
        <v>0</v>
      </c>
      <c r="AH154" s="718">
        <f t="shared" si="98"/>
        <v>0</v>
      </c>
      <c r="AI154" s="719">
        <f t="shared" si="99"/>
        <v>0</v>
      </c>
      <c r="AJ154" s="717">
        <f t="shared" si="100"/>
        <v>0</v>
      </c>
      <c r="AK154" s="717">
        <f t="shared" si="101"/>
        <v>0</v>
      </c>
      <c r="AL154" s="720">
        <f t="shared" si="102"/>
        <v>0</v>
      </c>
      <c r="AM154" s="721">
        <f t="shared" si="103"/>
        <v>2.08</v>
      </c>
      <c r="AN154" s="1611">
        <f t="shared" si="104"/>
        <v>0</v>
      </c>
      <c r="AO154" s="1612"/>
      <c r="AP154" s="686"/>
      <c r="AQ154" s="686"/>
      <c r="AR154" s="686"/>
    </row>
    <row r="155" spans="1:48">
      <c r="A155" s="582"/>
      <c r="B155" s="650" t="s">
        <v>1325</v>
      </c>
      <c r="C155" s="1608" t="str">
        <f t="shared" si="69"/>
        <v>③：遅出（11：25～20：00）7.75ｈ</v>
      </c>
      <c r="D155" s="1609"/>
      <c r="E155" s="1610"/>
      <c r="F155" s="715" t="str">
        <f t="shared" si="70"/>
        <v>③</v>
      </c>
      <c r="G155" s="716">
        <f t="shared" si="71"/>
        <v>0</v>
      </c>
      <c r="H155" s="717">
        <f t="shared" si="72"/>
        <v>0</v>
      </c>
      <c r="I155" s="717">
        <f t="shared" si="73"/>
        <v>0</v>
      </c>
      <c r="J155" s="717">
        <f t="shared" si="74"/>
        <v>0</v>
      </c>
      <c r="K155" s="717">
        <f t="shared" si="75"/>
        <v>0</v>
      </c>
      <c r="L155" s="717">
        <f t="shared" si="76"/>
        <v>0</v>
      </c>
      <c r="M155" s="718">
        <f t="shared" si="77"/>
        <v>0</v>
      </c>
      <c r="N155" s="716">
        <f t="shared" si="78"/>
        <v>0</v>
      </c>
      <c r="O155" s="717">
        <f t="shared" si="79"/>
        <v>0</v>
      </c>
      <c r="P155" s="717">
        <f t="shared" si="80"/>
        <v>0</v>
      </c>
      <c r="Q155" s="717">
        <f t="shared" si="81"/>
        <v>0</v>
      </c>
      <c r="R155" s="717">
        <f t="shared" si="82"/>
        <v>0</v>
      </c>
      <c r="S155" s="717">
        <f t="shared" si="83"/>
        <v>0</v>
      </c>
      <c r="T155" s="718">
        <f t="shared" si="84"/>
        <v>0</v>
      </c>
      <c r="U155" s="716">
        <f t="shared" si="85"/>
        <v>0</v>
      </c>
      <c r="V155" s="717">
        <f t="shared" si="86"/>
        <v>0</v>
      </c>
      <c r="W155" s="717">
        <f t="shared" si="87"/>
        <v>0</v>
      </c>
      <c r="X155" s="717">
        <f t="shared" si="88"/>
        <v>0</v>
      </c>
      <c r="Y155" s="717">
        <f t="shared" si="89"/>
        <v>0</v>
      </c>
      <c r="Z155" s="717">
        <f t="shared" si="90"/>
        <v>0</v>
      </c>
      <c r="AA155" s="718">
        <f t="shared" si="91"/>
        <v>0</v>
      </c>
      <c r="AB155" s="716">
        <f t="shared" si="92"/>
        <v>0</v>
      </c>
      <c r="AC155" s="717">
        <f t="shared" si="93"/>
        <v>0</v>
      </c>
      <c r="AD155" s="717">
        <f t="shared" si="94"/>
        <v>0</v>
      </c>
      <c r="AE155" s="717">
        <f t="shared" si="95"/>
        <v>0</v>
      </c>
      <c r="AF155" s="717">
        <f t="shared" si="96"/>
        <v>0</v>
      </c>
      <c r="AG155" s="717">
        <f t="shared" si="97"/>
        <v>0</v>
      </c>
      <c r="AH155" s="718">
        <f t="shared" si="98"/>
        <v>0</v>
      </c>
      <c r="AI155" s="719">
        <f t="shared" si="99"/>
        <v>0</v>
      </c>
      <c r="AJ155" s="717">
        <f t="shared" si="100"/>
        <v>0</v>
      </c>
      <c r="AK155" s="717">
        <f t="shared" si="101"/>
        <v>0</v>
      </c>
      <c r="AL155" s="720">
        <f t="shared" si="102"/>
        <v>0</v>
      </c>
      <c r="AM155" s="721">
        <f t="shared" si="103"/>
        <v>2.5</v>
      </c>
      <c r="AN155" s="1611">
        <f t="shared" si="104"/>
        <v>0</v>
      </c>
      <c r="AO155" s="1612"/>
      <c r="AP155" s="686"/>
      <c r="AQ155" s="686"/>
      <c r="AR155" s="686"/>
    </row>
    <row r="156" spans="1:48">
      <c r="A156" s="582"/>
      <c r="B156" s="650" t="s">
        <v>1326</v>
      </c>
      <c r="C156" s="1608" t="str">
        <f t="shared" si="69"/>
        <v>⑤：午前Ａ（8：40～12：40）4ｈ</v>
      </c>
      <c r="D156" s="1609"/>
      <c r="E156" s="1610"/>
      <c r="F156" s="715" t="str">
        <f t="shared" si="70"/>
        <v>⑤</v>
      </c>
      <c r="G156" s="716">
        <f t="shared" si="71"/>
        <v>0</v>
      </c>
      <c r="H156" s="717">
        <f t="shared" si="72"/>
        <v>0</v>
      </c>
      <c r="I156" s="717">
        <f t="shared" si="73"/>
        <v>0</v>
      </c>
      <c r="J156" s="717">
        <f t="shared" si="74"/>
        <v>0</v>
      </c>
      <c r="K156" s="717">
        <f t="shared" si="75"/>
        <v>0</v>
      </c>
      <c r="L156" s="717">
        <f t="shared" si="76"/>
        <v>0</v>
      </c>
      <c r="M156" s="718">
        <f t="shared" si="77"/>
        <v>0</v>
      </c>
      <c r="N156" s="716">
        <f t="shared" si="78"/>
        <v>0</v>
      </c>
      <c r="O156" s="717">
        <f t="shared" si="79"/>
        <v>0</v>
      </c>
      <c r="P156" s="717">
        <f t="shared" si="80"/>
        <v>0</v>
      </c>
      <c r="Q156" s="717">
        <f t="shared" si="81"/>
        <v>0</v>
      </c>
      <c r="R156" s="717">
        <f t="shared" si="82"/>
        <v>0</v>
      </c>
      <c r="S156" s="717">
        <f t="shared" si="83"/>
        <v>0</v>
      </c>
      <c r="T156" s="718">
        <f t="shared" si="84"/>
        <v>0</v>
      </c>
      <c r="U156" s="716">
        <f t="shared" si="85"/>
        <v>0</v>
      </c>
      <c r="V156" s="717">
        <f t="shared" si="86"/>
        <v>0</v>
      </c>
      <c r="W156" s="717">
        <f t="shared" si="87"/>
        <v>0</v>
      </c>
      <c r="X156" s="717">
        <f t="shared" si="88"/>
        <v>0</v>
      </c>
      <c r="Y156" s="717">
        <f t="shared" si="89"/>
        <v>0</v>
      </c>
      <c r="Z156" s="717">
        <f t="shared" si="90"/>
        <v>0</v>
      </c>
      <c r="AA156" s="718">
        <f t="shared" si="91"/>
        <v>0</v>
      </c>
      <c r="AB156" s="716">
        <f t="shared" si="92"/>
        <v>0</v>
      </c>
      <c r="AC156" s="717">
        <f t="shared" si="93"/>
        <v>0</v>
      </c>
      <c r="AD156" s="717">
        <f t="shared" si="94"/>
        <v>0</v>
      </c>
      <c r="AE156" s="717">
        <f t="shared" si="95"/>
        <v>0</v>
      </c>
      <c r="AF156" s="717">
        <f t="shared" si="96"/>
        <v>0</v>
      </c>
      <c r="AG156" s="717">
        <f t="shared" si="97"/>
        <v>0</v>
      </c>
      <c r="AH156" s="718">
        <f t="shared" si="98"/>
        <v>0</v>
      </c>
      <c r="AI156" s="719">
        <f t="shared" si="99"/>
        <v>0</v>
      </c>
      <c r="AJ156" s="717">
        <f t="shared" si="100"/>
        <v>0</v>
      </c>
      <c r="AK156" s="717">
        <f t="shared" si="101"/>
        <v>0</v>
      </c>
      <c r="AL156" s="720">
        <f t="shared" si="102"/>
        <v>0</v>
      </c>
      <c r="AM156" s="721">
        <f t="shared" si="103"/>
        <v>0.57999999999999996</v>
      </c>
      <c r="AN156" s="1611">
        <f t="shared" si="104"/>
        <v>0</v>
      </c>
      <c r="AO156" s="1612"/>
      <c r="AP156" s="686"/>
      <c r="AQ156" s="686"/>
      <c r="AR156" s="686"/>
    </row>
    <row r="157" spans="1:48">
      <c r="A157" s="582"/>
      <c r="B157" s="650" t="s">
        <v>1327</v>
      </c>
      <c r="C157" s="1608" t="str">
        <f t="shared" si="69"/>
        <v>⑥：午後Ａ（13：30～17：30）4ｈ</v>
      </c>
      <c r="D157" s="1609"/>
      <c r="E157" s="1610"/>
      <c r="F157" s="715" t="str">
        <f t="shared" si="70"/>
        <v>⑥</v>
      </c>
      <c r="G157" s="716">
        <f t="shared" si="71"/>
        <v>0</v>
      </c>
      <c r="H157" s="717">
        <f t="shared" si="72"/>
        <v>0</v>
      </c>
      <c r="I157" s="717">
        <f t="shared" si="73"/>
        <v>0</v>
      </c>
      <c r="J157" s="717">
        <f t="shared" si="74"/>
        <v>0</v>
      </c>
      <c r="K157" s="717">
        <f t="shared" si="75"/>
        <v>0</v>
      </c>
      <c r="L157" s="717">
        <f t="shared" si="76"/>
        <v>0</v>
      </c>
      <c r="M157" s="718">
        <f t="shared" si="77"/>
        <v>0</v>
      </c>
      <c r="N157" s="716">
        <f t="shared" si="78"/>
        <v>0</v>
      </c>
      <c r="O157" s="717">
        <f t="shared" si="79"/>
        <v>0</v>
      </c>
      <c r="P157" s="717">
        <f t="shared" si="80"/>
        <v>0</v>
      </c>
      <c r="Q157" s="717">
        <f t="shared" si="81"/>
        <v>0</v>
      </c>
      <c r="R157" s="717">
        <f t="shared" si="82"/>
        <v>0</v>
      </c>
      <c r="S157" s="717">
        <f t="shared" si="83"/>
        <v>0</v>
      </c>
      <c r="T157" s="718">
        <f t="shared" si="84"/>
        <v>0</v>
      </c>
      <c r="U157" s="716">
        <f t="shared" si="85"/>
        <v>0</v>
      </c>
      <c r="V157" s="717">
        <f t="shared" si="86"/>
        <v>0</v>
      </c>
      <c r="W157" s="717">
        <f t="shared" si="87"/>
        <v>0</v>
      </c>
      <c r="X157" s="717">
        <f t="shared" si="88"/>
        <v>0</v>
      </c>
      <c r="Y157" s="717">
        <f t="shared" si="89"/>
        <v>0</v>
      </c>
      <c r="Z157" s="717">
        <f t="shared" si="90"/>
        <v>0</v>
      </c>
      <c r="AA157" s="718">
        <f t="shared" si="91"/>
        <v>0</v>
      </c>
      <c r="AB157" s="716">
        <f t="shared" si="92"/>
        <v>0</v>
      </c>
      <c r="AC157" s="717">
        <f t="shared" si="93"/>
        <v>0</v>
      </c>
      <c r="AD157" s="717">
        <f t="shared" si="94"/>
        <v>0</v>
      </c>
      <c r="AE157" s="717">
        <f t="shared" si="95"/>
        <v>0</v>
      </c>
      <c r="AF157" s="717">
        <f t="shared" si="96"/>
        <v>0</v>
      </c>
      <c r="AG157" s="717">
        <f t="shared" si="97"/>
        <v>0</v>
      </c>
      <c r="AH157" s="718">
        <f t="shared" si="98"/>
        <v>0</v>
      </c>
      <c r="AI157" s="719">
        <f t="shared" si="99"/>
        <v>0</v>
      </c>
      <c r="AJ157" s="717">
        <f t="shared" si="100"/>
        <v>0</v>
      </c>
      <c r="AK157" s="717">
        <f t="shared" si="101"/>
        <v>0</v>
      </c>
      <c r="AL157" s="720">
        <f t="shared" si="102"/>
        <v>0</v>
      </c>
      <c r="AM157" s="721">
        <f t="shared" si="103"/>
        <v>1</v>
      </c>
      <c r="AN157" s="1611">
        <f t="shared" si="104"/>
        <v>0</v>
      </c>
      <c r="AO157" s="1612"/>
      <c r="AP157" s="686"/>
      <c r="AQ157" s="686"/>
      <c r="AR157" s="686"/>
    </row>
    <row r="158" spans="1:48">
      <c r="A158" s="582"/>
      <c r="B158" s="650" t="s">
        <v>1328</v>
      </c>
      <c r="C158" s="1608" t="str">
        <f t="shared" si="69"/>
        <v>⑦：日勤Ｂ（9：00～17：00）7ｈ</v>
      </c>
      <c r="D158" s="1609"/>
      <c r="E158" s="1610"/>
      <c r="F158" s="715" t="str">
        <f t="shared" si="70"/>
        <v>⑦</v>
      </c>
      <c r="G158" s="716">
        <f t="shared" si="71"/>
        <v>0</v>
      </c>
      <c r="H158" s="717">
        <f t="shared" si="72"/>
        <v>0</v>
      </c>
      <c r="I158" s="717">
        <f t="shared" si="73"/>
        <v>0</v>
      </c>
      <c r="J158" s="717">
        <f t="shared" si="74"/>
        <v>0</v>
      </c>
      <c r="K158" s="717">
        <f t="shared" si="75"/>
        <v>0</v>
      </c>
      <c r="L158" s="717">
        <f t="shared" si="76"/>
        <v>0</v>
      </c>
      <c r="M158" s="718">
        <f t="shared" si="77"/>
        <v>0</v>
      </c>
      <c r="N158" s="716">
        <f t="shared" si="78"/>
        <v>0</v>
      </c>
      <c r="O158" s="717">
        <f t="shared" si="79"/>
        <v>0</v>
      </c>
      <c r="P158" s="717">
        <f t="shared" si="80"/>
        <v>0</v>
      </c>
      <c r="Q158" s="717">
        <f t="shared" si="81"/>
        <v>0</v>
      </c>
      <c r="R158" s="717">
        <f t="shared" si="82"/>
        <v>0</v>
      </c>
      <c r="S158" s="717">
        <f t="shared" si="83"/>
        <v>0</v>
      </c>
      <c r="T158" s="718">
        <f t="shared" si="84"/>
        <v>0</v>
      </c>
      <c r="U158" s="716">
        <f t="shared" si="85"/>
        <v>0</v>
      </c>
      <c r="V158" s="717">
        <f t="shared" si="86"/>
        <v>0</v>
      </c>
      <c r="W158" s="717">
        <f t="shared" si="87"/>
        <v>0</v>
      </c>
      <c r="X158" s="717">
        <f t="shared" si="88"/>
        <v>0</v>
      </c>
      <c r="Y158" s="717">
        <f t="shared" si="89"/>
        <v>0</v>
      </c>
      <c r="Z158" s="717">
        <f t="shared" si="90"/>
        <v>0</v>
      </c>
      <c r="AA158" s="718">
        <f t="shared" si="91"/>
        <v>0</v>
      </c>
      <c r="AB158" s="716">
        <f t="shared" si="92"/>
        <v>0</v>
      </c>
      <c r="AC158" s="717">
        <f t="shared" si="93"/>
        <v>0</v>
      </c>
      <c r="AD158" s="717">
        <f t="shared" si="94"/>
        <v>0</v>
      </c>
      <c r="AE158" s="717">
        <f t="shared" si="95"/>
        <v>0</v>
      </c>
      <c r="AF158" s="717">
        <f t="shared" si="96"/>
        <v>0</v>
      </c>
      <c r="AG158" s="717">
        <f t="shared" si="97"/>
        <v>0</v>
      </c>
      <c r="AH158" s="718">
        <f t="shared" si="98"/>
        <v>0</v>
      </c>
      <c r="AI158" s="719">
        <f t="shared" si="99"/>
        <v>0</v>
      </c>
      <c r="AJ158" s="717">
        <f t="shared" si="100"/>
        <v>0</v>
      </c>
      <c r="AK158" s="717">
        <f t="shared" si="101"/>
        <v>0</v>
      </c>
      <c r="AL158" s="720">
        <f t="shared" si="102"/>
        <v>0</v>
      </c>
      <c r="AM158" s="721">
        <f t="shared" si="103"/>
        <v>0.75</v>
      </c>
      <c r="AN158" s="1611">
        <f t="shared" si="104"/>
        <v>0</v>
      </c>
      <c r="AO158" s="1612"/>
      <c r="AP158" s="686"/>
      <c r="AQ158" s="686"/>
      <c r="AR158" s="686"/>
    </row>
    <row r="159" spans="1:48">
      <c r="A159" s="582"/>
      <c r="B159" s="650" t="s">
        <v>1329</v>
      </c>
      <c r="C159" s="1608" t="str">
        <f t="shared" si="69"/>
        <v>⑧：午前Ｂ（9：00～13：00）4ｈ</v>
      </c>
      <c r="D159" s="1609"/>
      <c r="E159" s="1610"/>
      <c r="F159" s="715" t="str">
        <f t="shared" si="70"/>
        <v>⑧</v>
      </c>
      <c r="G159" s="716">
        <f t="shared" si="71"/>
        <v>0</v>
      </c>
      <c r="H159" s="717">
        <f t="shared" si="72"/>
        <v>0</v>
      </c>
      <c r="I159" s="717">
        <f t="shared" si="73"/>
        <v>0</v>
      </c>
      <c r="J159" s="717">
        <f t="shared" si="74"/>
        <v>0</v>
      </c>
      <c r="K159" s="717">
        <f t="shared" si="75"/>
        <v>0</v>
      </c>
      <c r="L159" s="717">
        <f t="shared" si="76"/>
        <v>0</v>
      </c>
      <c r="M159" s="718">
        <f t="shared" si="77"/>
        <v>0</v>
      </c>
      <c r="N159" s="716">
        <f t="shared" si="78"/>
        <v>0</v>
      </c>
      <c r="O159" s="717">
        <f t="shared" si="79"/>
        <v>0</v>
      </c>
      <c r="P159" s="717">
        <f t="shared" si="80"/>
        <v>0</v>
      </c>
      <c r="Q159" s="717">
        <f t="shared" si="81"/>
        <v>0</v>
      </c>
      <c r="R159" s="717">
        <f t="shared" si="82"/>
        <v>0</v>
      </c>
      <c r="S159" s="717">
        <f t="shared" si="83"/>
        <v>0</v>
      </c>
      <c r="T159" s="718">
        <f t="shared" si="84"/>
        <v>0</v>
      </c>
      <c r="U159" s="716">
        <f t="shared" si="85"/>
        <v>0</v>
      </c>
      <c r="V159" s="717">
        <f t="shared" si="86"/>
        <v>0</v>
      </c>
      <c r="W159" s="717">
        <f t="shared" si="87"/>
        <v>0</v>
      </c>
      <c r="X159" s="717">
        <f t="shared" si="88"/>
        <v>0</v>
      </c>
      <c r="Y159" s="717">
        <f t="shared" si="89"/>
        <v>0</v>
      </c>
      <c r="Z159" s="717">
        <f t="shared" si="90"/>
        <v>0</v>
      </c>
      <c r="AA159" s="718">
        <f t="shared" si="91"/>
        <v>0</v>
      </c>
      <c r="AB159" s="716">
        <f t="shared" si="92"/>
        <v>0</v>
      </c>
      <c r="AC159" s="717">
        <f t="shared" si="93"/>
        <v>0</v>
      </c>
      <c r="AD159" s="717">
        <f t="shared" si="94"/>
        <v>0</v>
      </c>
      <c r="AE159" s="717">
        <f t="shared" si="95"/>
        <v>0</v>
      </c>
      <c r="AF159" s="717">
        <f t="shared" si="96"/>
        <v>0</v>
      </c>
      <c r="AG159" s="717">
        <f t="shared" si="97"/>
        <v>0</v>
      </c>
      <c r="AH159" s="718">
        <f t="shared" si="98"/>
        <v>0</v>
      </c>
      <c r="AI159" s="719">
        <f t="shared" si="99"/>
        <v>0</v>
      </c>
      <c r="AJ159" s="717">
        <f t="shared" si="100"/>
        <v>0</v>
      </c>
      <c r="AK159" s="717">
        <f t="shared" si="101"/>
        <v>0</v>
      </c>
      <c r="AL159" s="720">
        <f t="shared" si="102"/>
        <v>0</v>
      </c>
      <c r="AM159" s="721">
        <f t="shared" si="103"/>
        <v>0.25</v>
      </c>
      <c r="AN159" s="1611">
        <f t="shared" si="104"/>
        <v>0</v>
      </c>
      <c r="AO159" s="1612"/>
      <c r="AP159" s="686"/>
      <c r="AQ159" s="686"/>
      <c r="AR159" s="686"/>
    </row>
    <row r="160" spans="1:48">
      <c r="A160" s="582"/>
      <c r="B160" s="650" t="s">
        <v>1330</v>
      </c>
      <c r="C160" s="1608" t="str">
        <f t="shared" si="69"/>
        <v>⑨：午後Ｂ（13：00～17：00）4ｈ</v>
      </c>
      <c r="D160" s="1609"/>
      <c r="E160" s="1610"/>
      <c r="F160" s="715" t="str">
        <f t="shared" si="70"/>
        <v>⑨</v>
      </c>
      <c r="G160" s="716">
        <f t="shared" si="71"/>
        <v>0</v>
      </c>
      <c r="H160" s="717">
        <f t="shared" si="72"/>
        <v>0</v>
      </c>
      <c r="I160" s="717">
        <f t="shared" si="73"/>
        <v>0</v>
      </c>
      <c r="J160" s="717">
        <f t="shared" si="74"/>
        <v>0</v>
      </c>
      <c r="K160" s="717">
        <f t="shared" si="75"/>
        <v>0</v>
      </c>
      <c r="L160" s="717">
        <f t="shared" si="76"/>
        <v>0</v>
      </c>
      <c r="M160" s="718">
        <f t="shared" si="77"/>
        <v>0</v>
      </c>
      <c r="N160" s="716">
        <f t="shared" si="78"/>
        <v>0</v>
      </c>
      <c r="O160" s="717">
        <f t="shared" si="79"/>
        <v>0</v>
      </c>
      <c r="P160" s="717">
        <f t="shared" si="80"/>
        <v>0</v>
      </c>
      <c r="Q160" s="717">
        <f t="shared" si="81"/>
        <v>0</v>
      </c>
      <c r="R160" s="717">
        <f t="shared" si="82"/>
        <v>0</v>
      </c>
      <c r="S160" s="717">
        <f t="shared" si="83"/>
        <v>0</v>
      </c>
      <c r="T160" s="718">
        <f t="shared" si="84"/>
        <v>0</v>
      </c>
      <c r="U160" s="716">
        <f t="shared" si="85"/>
        <v>0</v>
      </c>
      <c r="V160" s="717">
        <f t="shared" si="86"/>
        <v>0</v>
      </c>
      <c r="W160" s="717">
        <f t="shared" si="87"/>
        <v>0</v>
      </c>
      <c r="X160" s="717">
        <f t="shared" si="88"/>
        <v>0</v>
      </c>
      <c r="Y160" s="717">
        <f t="shared" si="89"/>
        <v>0</v>
      </c>
      <c r="Z160" s="717">
        <f t="shared" si="90"/>
        <v>0</v>
      </c>
      <c r="AA160" s="718">
        <f t="shared" si="91"/>
        <v>0</v>
      </c>
      <c r="AB160" s="716">
        <f t="shared" si="92"/>
        <v>0</v>
      </c>
      <c r="AC160" s="717">
        <f t="shared" si="93"/>
        <v>0</v>
      </c>
      <c r="AD160" s="717">
        <f t="shared" si="94"/>
        <v>0</v>
      </c>
      <c r="AE160" s="717">
        <f t="shared" si="95"/>
        <v>0</v>
      </c>
      <c r="AF160" s="717">
        <f t="shared" si="96"/>
        <v>0</v>
      </c>
      <c r="AG160" s="717">
        <f t="shared" si="97"/>
        <v>0</v>
      </c>
      <c r="AH160" s="718">
        <f t="shared" si="98"/>
        <v>0</v>
      </c>
      <c r="AI160" s="719">
        <f t="shared" si="99"/>
        <v>0</v>
      </c>
      <c r="AJ160" s="717">
        <f t="shared" si="100"/>
        <v>0</v>
      </c>
      <c r="AK160" s="717">
        <f t="shared" si="101"/>
        <v>0</v>
      </c>
      <c r="AL160" s="720">
        <f t="shared" si="102"/>
        <v>0</v>
      </c>
      <c r="AM160" s="721">
        <f t="shared" si="103"/>
        <v>0.5</v>
      </c>
      <c r="AN160" s="1611">
        <f t="shared" si="104"/>
        <v>0</v>
      </c>
      <c r="AO160" s="1612"/>
      <c r="AP160" s="686"/>
      <c r="AQ160" s="686"/>
      <c r="AR160" s="686"/>
    </row>
    <row r="161" spans="1:44">
      <c r="A161" s="582"/>
      <c r="B161" s="650" t="s">
        <v>1331</v>
      </c>
      <c r="C161" s="1608" t="str">
        <f t="shared" si="69"/>
        <v>⑩：午後Ｃ（11：25～15：25）4ｈ</v>
      </c>
      <c r="D161" s="1609"/>
      <c r="E161" s="1610"/>
      <c r="F161" s="715" t="str">
        <f t="shared" si="70"/>
        <v>⑩</v>
      </c>
      <c r="G161" s="716">
        <f t="shared" si="71"/>
        <v>0</v>
      </c>
      <c r="H161" s="717">
        <f t="shared" si="72"/>
        <v>0</v>
      </c>
      <c r="I161" s="717">
        <f t="shared" si="73"/>
        <v>0</v>
      </c>
      <c r="J161" s="717">
        <f t="shared" si="74"/>
        <v>0</v>
      </c>
      <c r="K161" s="717">
        <f t="shared" si="75"/>
        <v>0</v>
      </c>
      <c r="L161" s="717">
        <f t="shared" si="76"/>
        <v>0</v>
      </c>
      <c r="M161" s="718">
        <f t="shared" si="77"/>
        <v>0</v>
      </c>
      <c r="N161" s="716">
        <f t="shared" si="78"/>
        <v>0</v>
      </c>
      <c r="O161" s="717">
        <f t="shared" si="79"/>
        <v>0</v>
      </c>
      <c r="P161" s="717">
        <f t="shared" si="80"/>
        <v>0</v>
      </c>
      <c r="Q161" s="717">
        <f t="shared" si="81"/>
        <v>0</v>
      </c>
      <c r="R161" s="717">
        <f t="shared" si="82"/>
        <v>0</v>
      </c>
      <c r="S161" s="717">
        <f t="shared" si="83"/>
        <v>0</v>
      </c>
      <c r="T161" s="718">
        <f t="shared" si="84"/>
        <v>0</v>
      </c>
      <c r="U161" s="716">
        <f t="shared" si="85"/>
        <v>0</v>
      </c>
      <c r="V161" s="717">
        <f t="shared" si="86"/>
        <v>0</v>
      </c>
      <c r="W161" s="717">
        <f t="shared" si="87"/>
        <v>0</v>
      </c>
      <c r="X161" s="717">
        <f t="shared" si="88"/>
        <v>0</v>
      </c>
      <c r="Y161" s="717">
        <f t="shared" si="89"/>
        <v>0</v>
      </c>
      <c r="Z161" s="717">
        <f t="shared" si="90"/>
        <v>0</v>
      </c>
      <c r="AA161" s="718">
        <f t="shared" si="91"/>
        <v>0</v>
      </c>
      <c r="AB161" s="716">
        <f t="shared" si="92"/>
        <v>0</v>
      </c>
      <c r="AC161" s="717">
        <f t="shared" si="93"/>
        <v>0</v>
      </c>
      <c r="AD161" s="717">
        <f t="shared" si="94"/>
        <v>0</v>
      </c>
      <c r="AE161" s="717">
        <f t="shared" si="95"/>
        <v>0</v>
      </c>
      <c r="AF161" s="717">
        <f t="shared" si="96"/>
        <v>0</v>
      </c>
      <c r="AG161" s="717">
        <f t="shared" si="97"/>
        <v>0</v>
      </c>
      <c r="AH161" s="718">
        <f t="shared" si="98"/>
        <v>0</v>
      </c>
      <c r="AI161" s="719">
        <f t="shared" si="99"/>
        <v>0</v>
      </c>
      <c r="AJ161" s="717">
        <f t="shared" si="100"/>
        <v>0</v>
      </c>
      <c r="AK161" s="717">
        <f t="shared" si="101"/>
        <v>0</v>
      </c>
      <c r="AL161" s="720">
        <f t="shared" si="102"/>
        <v>0</v>
      </c>
      <c r="AM161" s="721">
        <f t="shared" si="103"/>
        <v>0</v>
      </c>
      <c r="AN161" s="1611">
        <f t="shared" si="104"/>
        <v>0</v>
      </c>
      <c r="AO161" s="1612"/>
      <c r="AP161" s="686"/>
      <c r="AQ161" s="686"/>
      <c r="AR161" s="686"/>
    </row>
    <row r="162" spans="1:44">
      <c r="A162" s="582"/>
      <c r="B162" s="650" t="s">
        <v>1332</v>
      </c>
      <c r="C162" s="1608" t="str">
        <f t="shared" si="69"/>
        <v>⑪：午後Ｄ（16：00～20：00）4ｈ</v>
      </c>
      <c r="D162" s="1609"/>
      <c r="E162" s="1610"/>
      <c r="F162" s="715" t="str">
        <f t="shared" si="70"/>
        <v>⑪</v>
      </c>
      <c r="G162" s="716">
        <f t="shared" si="71"/>
        <v>0</v>
      </c>
      <c r="H162" s="717">
        <f t="shared" si="72"/>
        <v>0</v>
      </c>
      <c r="I162" s="717">
        <f t="shared" si="73"/>
        <v>0</v>
      </c>
      <c r="J162" s="717">
        <f t="shared" si="74"/>
        <v>0</v>
      </c>
      <c r="K162" s="717">
        <f t="shared" si="75"/>
        <v>0</v>
      </c>
      <c r="L162" s="717">
        <f t="shared" si="76"/>
        <v>0</v>
      </c>
      <c r="M162" s="718">
        <f t="shared" si="77"/>
        <v>0</v>
      </c>
      <c r="N162" s="716">
        <f t="shared" si="78"/>
        <v>0</v>
      </c>
      <c r="O162" s="717">
        <f t="shared" si="79"/>
        <v>0</v>
      </c>
      <c r="P162" s="717">
        <f t="shared" si="80"/>
        <v>0</v>
      </c>
      <c r="Q162" s="717">
        <f t="shared" si="81"/>
        <v>0</v>
      </c>
      <c r="R162" s="717">
        <f t="shared" si="82"/>
        <v>0</v>
      </c>
      <c r="S162" s="717">
        <f t="shared" si="83"/>
        <v>0</v>
      </c>
      <c r="T162" s="718">
        <f t="shared" si="84"/>
        <v>0</v>
      </c>
      <c r="U162" s="716">
        <f t="shared" si="85"/>
        <v>0</v>
      </c>
      <c r="V162" s="717">
        <f t="shared" si="86"/>
        <v>0</v>
      </c>
      <c r="W162" s="717">
        <f t="shared" si="87"/>
        <v>0</v>
      </c>
      <c r="X162" s="717">
        <f t="shared" si="88"/>
        <v>0</v>
      </c>
      <c r="Y162" s="717">
        <f t="shared" si="89"/>
        <v>0</v>
      </c>
      <c r="Z162" s="717">
        <f t="shared" si="90"/>
        <v>0</v>
      </c>
      <c r="AA162" s="718">
        <f t="shared" si="91"/>
        <v>0</v>
      </c>
      <c r="AB162" s="716">
        <f t="shared" si="92"/>
        <v>0</v>
      </c>
      <c r="AC162" s="717">
        <f t="shared" si="93"/>
        <v>0</v>
      </c>
      <c r="AD162" s="717">
        <f t="shared" si="94"/>
        <v>0</v>
      </c>
      <c r="AE162" s="717">
        <f t="shared" si="95"/>
        <v>0</v>
      </c>
      <c r="AF162" s="717">
        <f t="shared" si="96"/>
        <v>0</v>
      </c>
      <c r="AG162" s="717">
        <f t="shared" si="97"/>
        <v>0</v>
      </c>
      <c r="AH162" s="718">
        <f t="shared" si="98"/>
        <v>0</v>
      </c>
      <c r="AI162" s="719">
        <f t="shared" si="99"/>
        <v>0</v>
      </c>
      <c r="AJ162" s="717">
        <f t="shared" si="100"/>
        <v>0</v>
      </c>
      <c r="AK162" s="717">
        <f t="shared" si="101"/>
        <v>0</v>
      </c>
      <c r="AL162" s="720">
        <f t="shared" si="102"/>
        <v>0</v>
      </c>
      <c r="AM162" s="721">
        <f t="shared" si="103"/>
        <v>3.5</v>
      </c>
      <c r="AN162" s="1611">
        <f t="shared" si="104"/>
        <v>0</v>
      </c>
      <c r="AO162" s="1612"/>
      <c r="AP162" s="686"/>
      <c r="AQ162" s="686"/>
      <c r="AR162" s="686"/>
    </row>
    <row r="163" spans="1:44">
      <c r="A163" s="582"/>
      <c r="B163" s="650" t="s">
        <v>1333</v>
      </c>
      <c r="C163" s="1608" t="str">
        <f t="shared" si="69"/>
        <v>⑱：日勤Ｃ（8：40～17：00）7.5ｈ</v>
      </c>
      <c r="D163" s="1609"/>
      <c r="E163" s="1610"/>
      <c r="F163" s="715" t="str">
        <f t="shared" si="70"/>
        <v>⑱</v>
      </c>
      <c r="G163" s="716">
        <f t="shared" si="71"/>
        <v>0</v>
      </c>
      <c r="H163" s="717">
        <f t="shared" si="72"/>
        <v>0</v>
      </c>
      <c r="I163" s="717">
        <f t="shared" si="73"/>
        <v>0</v>
      </c>
      <c r="J163" s="717">
        <f t="shared" si="74"/>
        <v>0</v>
      </c>
      <c r="K163" s="717">
        <f t="shared" si="75"/>
        <v>0</v>
      </c>
      <c r="L163" s="717">
        <f t="shared" si="76"/>
        <v>0</v>
      </c>
      <c r="M163" s="718">
        <f t="shared" si="77"/>
        <v>0</v>
      </c>
      <c r="N163" s="716">
        <f t="shared" si="78"/>
        <v>0</v>
      </c>
      <c r="O163" s="717">
        <f t="shared" si="79"/>
        <v>0</v>
      </c>
      <c r="P163" s="717">
        <f t="shared" si="80"/>
        <v>0</v>
      </c>
      <c r="Q163" s="717">
        <f t="shared" si="81"/>
        <v>0</v>
      </c>
      <c r="R163" s="717">
        <f t="shared" si="82"/>
        <v>0</v>
      </c>
      <c r="S163" s="717">
        <f t="shared" si="83"/>
        <v>0</v>
      </c>
      <c r="T163" s="718">
        <f t="shared" si="84"/>
        <v>0</v>
      </c>
      <c r="U163" s="716">
        <f t="shared" si="85"/>
        <v>0</v>
      </c>
      <c r="V163" s="717">
        <f t="shared" si="86"/>
        <v>0</v>
      </c>
      <c r="W163" s="717">
        <f t="shared" si="87"/>
        <v>0</v>
      </c>
      <c r="X163" s="717">
        <f t="shared" si="88"/>
        <v>0</v>
      </c>
      <c r="Y163" s="717">
        <f t="shared" si="89"/>
        <v>0</v>
      </c>
      <c r="Z163" s="717">
        <f t="shared" si="90"/>
        <v>0</v>
      </c>
      <c r="AA163" s="718">
        <f t="shared" si="91"/>
        <v>0</v>
      </c>
      <c r="AB163" s="716">
        <f t="shared" si="92"/>
        <v>0</v>
      </c>
      <c r="AC163" s="717">
        <f t="shared" si="93"/>
        <v>0</v>
      </c>
      <c r="AD163" s="717">
        <f t="shared" si="94"/>
        <v>0</v>
      </c>
      <c r="AE163" s="717">
        <f t="shared" si="95"/>
        <v>0</v>
      </c>
      <c r="AF163" s="717">
        <f t="shared" si="96"/>
        <v>0</v>
      </c>
      <c r="AG163" s="717">
        <f t="shared" si="97"/>
        <v>0</v>
      </c>
      <c r="AH163" s="718">
        <f t="shared" si="98"/>
        <v>0</v>
      </c>
      <c r="AI163" s="719">
        <f t="shared" si="99"/>
        <v>0</v>
      </c>
      <c r="AJ163" s="717">
        <f t="shared" si="100"/>
        <v>0</v>
      </c>
      <c r="AK163" s="717">
        <f t="shared" si="101"/>
        <v>0</v>
      </c>
      <c r="AL163" s="720">
        <f t="shared" si="102"/>
        <v>0</v>
      </c>
      <c r="AM163" s="721">
        <f t="shared" si="103"/>
        <v>1.08</v>
      </c>
      <c r="AN163" s="1611">
        <f t="shared" si="104"/>
        <v>0</v>
      </c>
      <c r="AO163" s="1612"/>
      <c r="AP163" s="686"/>
      <c r="AQ163" s="686"/>
      <c r="AR163" s="686"/>
    </row>
    <row r="164" spans="1:44">
      <c r="A164" s="582"/>
      <c r="B164" s="650" t="s">
        <v>1334</v>
      </c>
      <c r="C164" s="1608" t="str">
        <f t="shared" si="69"/>
        <v>⑲：午前Ｃ（9：00～13：00）4ｈ</v>
      </c>
      <c r="D164" s="1609"/>
      <c r="E164" s="1610"/>
      <c r="F164" s="715" t="str">
        <f t="shared" si="70"/>
        <v>⑲</v>
      </c>
      <c r="G164" s="716">
        <f t="shared" si="71"/>
        <v>0</v>
      </c>
      <c r="H164" s="717">
        <f t="shared" si="72"/>
        <v>0</v>
      </c>
      <c r="I164" s="717">
        <f t="shared" si="73"/>
        <v>0</v>
      </c>
      <c r="J164" s="717">
        <f t="shared" si="74"/>
        <v>0</v>
      </c>
      <c r="K164" s="717">
        <f t="shared" si="75"/>
        <v>0</v>
      </c>
      <c r="L164" s="717">
        <f t="shared" si="76"/>
        <v>0</v>
      </c>
      <c r="M164" s="718">
        <f t="shared" si="77"/>
        <v>0</v>
      </c>
      <c r="N164" s="716">
        <f t="shared" si="78"/>
        <v>0</v>
      </c>
      <c r="O164" s="717">
        <f t="shared" si="79"/>
        <v>0</v>
      </c>
      <c r="P164" s="717">
        <f t="shared" si="80"/>
        <v>0</v>
      </c>
      <c r="Q164" s="717">
        <f t="shared" si="81"/>
        <v>0</v>
      </c>
      <c r="R164" s="717">
        <f t="shared" si="82"/>
        <v>0</v>
      </c>
      <c r="S164" s="717">
        <f t="shared" si="83"/>
        <v>0</v>
      </c>
      <c r="T164" s="718">
        <f t="shared" si="84"/>
        <v>0</v>
      </c>
      <c r="U164" s="716">
        <f t="shared" si="85"/>
        <v>0</v>
      </c>
      <c r="V164" s="717">
        <f t="shared" si="86"/>
        <v>0</v>
      </c>
      <c r="W164" s="717">
        <f t="shared" si="87"/>
        <v>0</v>
      </c>
      <c r="X164" s="717">
        <f t="shared" si="88"/>
        <v>0</v>
      </c>
      <c r="Y164" s="717">
        <f t="shared" si="89"/>
        <v>0</v>
      </c>
      <c r="Z164" s="717">
        <f t="shared" si="90"/>
        <v>0</v>
      </c>
      <c r="AA164" s="718">
        <f t="shared" si="91"/>
        <v>0</v>
      </c>
      <c r="AB164" s="716">
        <f t="shared" si="92"/>
        <v>0</v>
      </c>
      <c r="AC164" s="717">
        <f t="shared" si="93"/>
        <v>0</v>
      </c>
      <c r="AD164" s="717">
        <f t="shared" si="94"/>
        <v>0</v>
      </c>
      <c r="AE164" s="717">
        <f t="shared" si="95"/>
        <v>0</v>
      </c>
      <c r="AF164" s="717">
        <f t="shared" si="96"/>
        <v>0</v>
      </c>
      <c r="AG164" s="717">
        <f t="shared" si="97"/>
        <v>0</v>
      </c>
      <c r="AH164" s="718">
        <f t="shared" si="98"/>
        <v>0</v>
      </c>
      <c r="AI164" s="719">
        <f t="shared" si="99"/>
        <v>0</v>
      </c>
      <c r="AJ164" s="717">
        <f t="shared" si="100"/>
        <v>0</v>
      </c>
      <c r="AK164" s="717">
        <f t="shared" si="101"/>
        <v>0</v>
      </c>
      <c r="AL164" s="720">
        <f t="shared" si="102"/>
        <v>0</v>
      </c>
      <c r="AM164" s="721">
        <f t="shared" si="103"/>
        <v>0.25</v>
      </c>
      <c r="AN164" s="1611">
        <f t="shared" si="104"/>
        <v>0</v>
      </c>
      <c r="AO164" s="1612"/>
      <c r="AP164" s="686"/>
      <c r="AQ164" s="686"/>
      <c r="AR164" s="686"/>
    </row>
    <row r="165" spans="1:44">
      <c r="A165" s="582"/>
      <c r="B165" s="650" t="s">
        <v>1335</v>
      </c>
      <c r="C165" s="1608" t="str">
        <f t="shared" si="69"/>
        <v>⑳：午前Ｄ（7：10～11：10）4ｈ</v>
      </c>
      <c r="D165" s="1609"/>
      <c r="E165" s="1610"/>
      <c r="F165" s="715" t="str">
        <f t="shared" si="70"/>
        <v>⑳</v>
      </c>
      <c r="G165" s="716">
        <f t="shared" si="71"/>
        <v>0</v>
      </c>
      <c r="H165" s="717">
        <f t="shared" si="72"/>
        <v>0</v>
      </c>
      <c r="I165" s="717">
        <f t="shared" si="73"/>
        <v>0</v>
      </c>
      <c r="J165" s="717">
        <f t="shared" si="74"/>
        <v>0</v>
      </c>
      <c r="K165" s="717">
        <f t="shared" si="75"/>
        <v>0</v>
      </c>
      <c r="L165" s="717">
        <f t="shared" si="76"/>
        <v>0</v>
      </c>
      <c r="M165" s="718">
        <f t="shared" si="77"/>
        <v>0</v>
      </c>
      <c r="N165" s="716">
        <f t="shared" si="78"/>
        <v>0</v>
      </c>
      <c r="O165" s="717">
        <f t="shared" si="79"/>
        <v>0</v>
      </c>
      <c r="P165" s="717">
        <f t="shared" si="80"/>
        <v>0</v>
      </c>
      <c r="Q165" s="717">
        <f t="shared" si="81"/>
        <v>0</v>
      </c>
      <c r="R165" s="717">
        <f t="shared" si="82"/>
        <v>0</v>
      </c>
      <c r="S165" s="717">
        <f t="shared" si="83"/>
        <v>0</v>
      </c>
      <c r="T165" s="718">
        <f t="shared" si="84"/>
        <v>0</v>
      </c>
      <c r="U165" s="716">
        <f t="shared" si="85"/>
        <v>0</v>
      </c>
      <c r="V165" s="717">
        <f t="shared" si="86"/>
        <v>0</v>
      </c>
      <c r="W165" s="717">
        <f t="shared" si="87"/>
        <v>0</v>
      </c>
      <c r="X165" s="717">
        <f t="shared" si="88"/>
        <v>0</v>
      </c>
      <c r="Y165" s="717">
        <f t="shared" si="89"/>
        <v>0</v>
      </c>
      <c r="Z165" s="717">
        <f t="shared" si="90"/>
        <v>0</v>
      </c>
      <c r="AA165" s="718">
        <f t="shared" si="91"/>
        <v>0</v>
      </c>
      <c r="AB165" s="716">
        <f t="shared" si="92"/>
        <v>0</v>
      </c>
      <c r="AC165" s="717">
        <f t="shared" si="93"/>
        <v>0</v>
      </c>
      <c r="AD165" s="717">
        <f t="shared" si="94"/>
        <v>0</v>
      </c>
      <c r="AE165" s="717">
        <f t="shared" si="95"/>
        <v>0</v>
      </c>
      <c r="AF165" s="717">
        <f t="shared" si="96"/>
        <v>0</v>
      </c>
      <c r="AG165" s="717">
        <f t="shared" si="97"/>
        <v>0</v>
      </c>
      <c r="AH165" s="718">
        <f t="shared" si="98"/>
        <v>0</v>
      </c>
      <c r="AI165" s="719">
        <f t="shared" si="99"/>
        <v>0</v>
      </c>
      <c r="AJ165" s="717">
        <f t="shared" si="100"/>
        <v>0</v>
      </c>
      <c r="AK165" s="717">
        <f t="shared" si="101"/>
        <v>0</v>
      </c>
      <c r="AL165" s="720">
        <f t="shared" si="102"/>
        <v>0</v>
      </c>
      <c r="AM165" s="721">
        <f t="shared" si="103"/>
        <v>2.08</v>
      </c>
      <c r="AN165" s="1611">
        <f t="shared" si="104"/>
        <v>0</v>
      </c>
      <c r="AO165" s="1612"/>
      <c r="AP165" s="686"/>
      <c r="AQ165" s="686"/>
      <c r="AR165" s="686"/>
    </row>
    <row r="166" spans="1:44">
      <c r="A166" s="582"/>
      <c r="B166" s="650" t="s">
        <v>1336</v>
      </c>
      <c r="C166" s="1608" t="str">
        <f t="shared" si="69"/>
        <v>公：公休（～）ｈ</v>
      </c>
      <c r="D166" s="1609"/>
      <c r="E166" s="1610"/>
      <c r="F166" s="715" t="str">
        <f t="shared" si="70"/>
        <v>公</v>
      </c>
      <c r="G166" s="716">
        <f t="shared" si="71"/>
        <v>0</v>
      </c>
      <c r="H166" s="717">
        <f t="shared" si="72"/>
        <v>0</v>
      </c>
      <c r="I166" s="717">
        <f t="shared" si="73"/>
        <v>0</v>
      </c>
      <c r="J166" s="717">
        <f t="shared" si="74"/>
        <v>0</v>
      </c>
      <c r="K166" s="717">
        <f t="shared" si="75"/>
        <v>0</v>
      </c>
      <c r="L166" s="717">
        <f t="shared" si="76"/>
        <v>0</v>
      </c>
      <c r="M166" s="718">
        <f t="shared" si="77"/>
        <v>0</v>
      </c>
      <c r="N166" s="716">
        <f t="shared" si="78"/>
        <v>0</v>
      </c>
      <c r="O166" s="717">
        <f t="shared" si="79"/>
        <v>0</v>
      </c>
      <c r="P166" s="717">
        <f t="shared" si="80"/>
        <v>0</v>
      </c>
      <c r="Q166" s="717">
        <f t="shared" si="81"/>
        <v>0</v>
      </c>
      <c r="R166" s="717">
        <f t="shared" si="82"/>
        <v>0</v>
      </c>
      <c r="S166" s="717">
        <f t="shared" si="83"/>
        <v>0</v>
      </c>
      <c r="T166" s="718">
        <f t="shared" si="84"/>
        <v>0</v>
      </c>
      <c r="U166" s="716">
        <f t="shared" si="85"/>
        <v>0</v>
      </c>
      <c r="V166" s="717">
        <f t="shared" si="86"/>
        <v>0</v>
      </c>
      <c r="W166" s="717">
        <f t="shared" si="87"/>
        <v>0</v>
      </c>
      <c r="X166" s="717">
        <f t="shared" si="88"/>
        <v>0</v>
      </c>
      <c r="Y166" s="717">
        <f t="shared" si="89"/>
        <v>0</v>
      </c>
      <c r="Z166" s="717">
        <f t="shared" si="90"/>
        <v>0</v>
      </c>
      <c r="AA166" s="718">
        <f t="shared" si="91"/>
        <v>0</v>
      </c>
      <c r="AB166" s="716">
        <f t="shared" si="92"/>
        <v>0</v>
      </c>
      <c r="AC166" s="717">
        <f t="shared" si="93"/>
        <v>0</v>
      </c>
      <c r="AD166" s="717">
        <f t="shared" si="94"/>
        <v>0</v>
      </c>
      <c r="AE166" s="717">
        <f t="shared" si="95"/>
        <v>0</v>
      </c>
      <c r="AF166" s="717">
        <f t="shared" si="96"/>
        <v>0</v>
      </c>
      <c r="AG166" s="717">
        <f t="shared" si="97"/>
        <v>0</v>
      </c>
      <c r="AH166" s="718">
        <f t="shared" si="98"/>
        <v>0</v>
      </c>
      <c r="AI166" s="719">
        <f t="shared" si="99"/>
        <v>0</v>
      </c>
      <c r="AJ166" s="717">
        <f t="shared" si="100"/>
        <v>0</v>
      </c>
      <c r="AK166" s="717">
        <f t="shared" si="101"/>
        <v>0</v>
      </c>
      <c r="AL166" s="720">
        <f t="shared" si="102"/>
        <v>0</v>
      </c>
      <c r="AM166" s="721">
        <f t="shared" si="103"/>
        <v>0</v>
      </c>
      <c r="AN166" s="1611">
        <f t="shared" si="104"/>
        <v>0</v>
      </c>
      <c r="AO166" s="1612"/>
      <c r="AP166" s="686"/>
      <c r="AQ166" s="686"/>
      <c r="AR166" s="686"/>
    </row>
    <row r="167" spans="1:44">
      <c r="A167" s="582"/>
      <c r="B167" s="650" t="s">
        <v>1337</v>
      </c>
      <c r="C167" s="1608" t="str">
        <f t="shared" si="69"/>
        <v>有：有休（～）ｈ</v>
      </c>
      <c r="D167" s="1609"/>
      <c r="E167" s="1610"/>
      <c r="F167" s="715" t="str">
        <f t="shared" si="70"/>
        <v>有</v>
      </c>
      <c r="G167" s="716">
        <f t="shared" si="71"/>
        <v>0</v>
      </c>
      <c r="H167" s="717">
        <f t="shared" si="72"/>
        <v>0</v>
      </c>
      <c r="I167" s="717">
        <f t="shared" si="73"/>
        <v>0</v>
      </c>
      <c r="J167" s="717">
        <f t="shared" si="74"/>
        <v>0</v>
      </c>
      <c r="K167" s="717">
        <f t="shared" si="75"/>
        <v>0</v>
      </c>
      <c r="L167" s="717">
        <f t="shared" si="76"/>
        <v>0</v>
      </c>
      <c r="M167" s="718">
        <f t="shared" si="77"/>
        <v>0</v>
      </c>
      <c r="N167" s="716">
        <f t="shared" si="78"/>
        <v>0</v>
      </c>
      <c r="O167" s="717">
        <f t="shared" si="79"/>
        <v>0</v>
      </c>
      <c r="P167" s="717">
        <f t="shared" si="80"/>
        <v>0</v>
      </c>
      <c r="Q167" s="717">
        <f t="shared" si="81"/>
        <v>0</v>
      </c>
      <c r="R167" s="717">
        <f t="shared" si="82"/>
        <v>0</v>
      </c>
      <c r="S167" s="717">
        <f t="shared" si="83"/>
        <v>0</v>
      </c>
      <c r="T167" s="718">
        <f t="shared" si="84"/>
        <v>0</v>
      </c>
      <c r="U167" s="716">
        <f t="shared" si="85"/>
        <v>0</v>
      </c>
      <c r="V167" s="717">
        <f t="shared" si="86"/>
        <v>0</v>
      </c>
      <c r="W167" s="717">
        <f t="shared" si="87"/>
        <v>0</v>
      </c>
      <c r="X167" s="717">
        <f t="shared" si="88"/>
        <v>0</v>
      </c>
      <c r="Y167" s="717">
        <f t="shared" si="89"/>
        <v>0</v>
      </c>
      <c r="Z167" s="717">
        <f t="shared" si="90"/>
        <v>0</v>
      </c>
      <c r="AA167" s="718">
        <f t="shared" si="91"/>
        <v>0</v>
      </c>
      <c r="AB167" s="716">
        <f t="shared" si="92"/>
        <v>0</v>
      </c>
      <c r="AC167" s="717">
        <f t="shared" si="93"/>
        <v>0</v>
      </c>
      <c r="AD167" s="717">
        <f t="shared" si="94"/>
        <v>0</v>
      </c>
      <c r="AE167" s="717">
        <f t="shared" si="95"/>
        <v>0</v>
      </c>
      <c r="AF167" s="717">
        <f t="shared" si="96"/>
        <v>0</v>
      </c>
      <c r="AG167" s="717">
        <f t="shared" si="97"/>
        <v>0</v>
      </c>
      <c r="AH167" s="718">
        <f t="shared" si="98"/>
        <v>0</v>
      </c>
      <c r="AI167" s="719">
        <f t="shared" si="99"/>
        <v>0</v>
      </c>
      <c r="AJ167" s="717">
        <f t="shared" si="100"/>
        <v>0</v>
      </c>
      <c r="AK167" s="717">
        <f t="shared" si="101"/>
        <v>0</v>
      </c>
      <c r="AL167" s="720">
        <f t="shared" si="102"/>
        <v>0</v>
      </c>
      <c r="AM167" s="721">
        <f t="shared" si="103"/>
        <v>0</v>
      </c>
      <c r="AN167" s="1611">
        <f t="shared" si="104"/>
        <v>0</v>
      </c>
      <c r="AO167" s="1612"/>
      <c r="AP167" s="686"/>
      <c r="AQ167" s="686"/>
      <c r="AR167" s="686"/>
    </row>
    <row r="168" spans="1:44">
      <c r="A168" s="582"/>
      <c r="B168" s="650" t="s">
        <v>1338</v>
      </c>
      <c r="C168" s="1608" t="str">
        <f t="shared" si="69"/>
        <v>欠：欠勤（～）ｈ</v>
      </c>
      <c r="D168" s="1609"/>
      <c r="E168" s="1610"/>
      <c r="F168" s="715" t="str">
        <f t="shared" si="70"/>
        <v>欠</v>
      </c>
      <c r="G168" s="716">
        <f t="shared" si="71"/>
        <v>0</v>
      </c>
      <c r="H168" s="717">
        <f t="shared" si="72"/>
        <v>0</v>
      </c>
      <c r="I168" s="717">
        <f t="shared" si="73"/>
        <v>0</v>
      </c>
      <c r="J168" s="717">
        <f t="shared" si="74"/>
        <v>0</v>
      </c>
      <c r="K168" s="717">
        <f t="shared" si="75"/>
        <v>0</v>
      </c>
      <c r="L168" s="717">
        <f t="shared" si="76"/>
        <v>0</v>
      </c>
      <c r="M168" s="718">
        <f t="shared" si="77"/>
        <v>0</v>
      </c>
      <c r="N168" s="716">
        <f t="shared" si="78"/>
        <v>0</v>
      </c>
      <c r="O168" s="717">
        <f t="shared" si="79"/>
        <v>0</v>
      </c>
      <c r="P168" s="717">
        <f t="shared" si="80"/>
        <v>0</v>
      </c>
      <c r="Q168" s="717">
        <f t="shared" si="81"/>
        <v>0</v>
      </c>
      <c r="R168" s="717">
        <f t="shared" si="82"/>
        <v>0</v>
      </c>
      <c r="S168" s="717">
        <f t="shared" si="83"/>
        <v>0</v>
      </c>
      <c r="T168" s="718">
        <f t="shared" si="84"/>
        <v>0</v>
      </c>
      <c r="U168" s="716">
        <f t="shared" si="85"/>
        <v>0</v>
      </c>
      <c r="V168" s="717">
        <f t="shared" si="86"/>
        <v>0</v>
      </c>
      <c r="W168" s="717">
        <f t="shared" si="87"/>
        <v>0</v>
      </c>
      <c r="X168" s="717">
        <f t="shared" si="88"/>
        <v>0</v>
      </c>
      <c r="Y168" s="717">
        <f t="shared" si="89"/>
        <v>0</v>
      </c>
      <c r="Z168" s="717">
        <f t="shared" si="90"/>
        <v>0</v>
      </c>
      <c r="AA168" s="718">
        <f t="shared" si="91"/>
        <v>0</v>
      </c>
      <c r="AB168" s="716">
        <f t="shared" si="92"/>
        <v>0</v>
      </c>
      <c r="AC168" s="717">
        <f t="shared" si="93"/>
        <v>0</v>
      </c>
      <c r="AD168" s="717">
        <f t="shared" si="94"/>
        <v>0</v>
      </c>
      <c r="AE168" s="717">
        <f t="shared" si="95"/>
        <v>0</v>
      </c>
      <c r="AF168" s="717">
        <f t="shared" si="96"/>
        <v>0</v>
      </c>
      <c r="AG168" s="717">
        <f t="shared" si="97"/>
        <v>0</v>
      </c>
      <c r="AH168" s="718">
        <f t="shared" si="98"/>
        <v>0</v>
      </c>
      <c r="AI168" s="719">
        <f t="shared" si="99"/>
        <v>0</v>
      </c>
      <c r="AJ168" s="717">
        <f t="shared" si="100"/>
        <v>0</v>
      </c>
      <c r="AK168" s="717">
        <f t="shared" si="101"/>
        <v>0</v>
      </c>
      <c r="AL168" s="720">
        <f t="shared" si="102"/>
        <v>0</v>
      </c>
      <c r="AM168" s="721">
        <f t="shared" si="103"/>
        <v>0</v>
      </c>
      <c r="AN168" s="1611">
        <f t="shared" si="104"/>
        <v>0</v>
      </c>
      <c r="AO168" s="1612"/>
      <c r="AP168" s="686"/>
      <c r="AQ168" s="686"/>
      <c r="AR168" s="686"/>
    </row>
    <row r="169" spans="1:44">
      <c r="A169" s="582"/>
      <c r="B169" s="650" t="s">
        <v>1339</v>
      </c>
      <c r="C169" s="1608" t="str">
        <f t="shared" si="69"/>
        <v>特：特休（～）ｈ</v>
      </c>
      <c r="D169" s="1609"/>
      <c r="E169" s="1610"/>
      <c r="F169" s="715" t="str">
        <f t="shared" si="70"/>
        <v>特</v>
      </c>
      <c r="G169" s="716">
        <f t="shared" si="71"/>
        <v>0</v>
      </c>
      <c r="H169" s="717">
        <f t="shared" si="72"/>
        <v>0</v>
      </c>
      <c r="I169" s="717">
        <f t="shared" si="73"/>
        <v>0</v>
      </c>
      <c r="J169" s="717">
        <f t="shared" si="74"/>
        <v>0</v>
      </c>
      <c r="K169" s="717">
        <f t="shared" si="75"/>
        <v>0</v>
      </c>
      <c r="L169" s="717">
        <f t="shared" si="76"/>
        <v>0</v>
      </c>
      <c r="M169" s="718">
        <f t="shared" si="77"/>
        <v>0</v>
      </c>
      <c r="N169" s="716">
        <f t="shared" si="78"/>
        <v>0</v>
      </c>
      <c r="O169" s="717">
        <f t="shared" si="79"/>
        <v>0</v>
      </c>
      <c r="P169" s="717">
        <f t="shared" si="80"/>
        <v>0</v>
      </c>
      <c r="Q169" s="717">
        <f t="shared" si="81"/>
        <v>0</v>
      </c>
      <c r="R169" s="717">
        <f t="shared" si="82"/>
        <v>0</v>
      </c>
      <c r="S169" s="717">
        <f t="shared" si="83"/>
        <v>0</v>
      </c>
      <c r="T169" s="718">
        <f t="shared" si="84"/>
        <v>0</v>
      </c>
      <c r="U169" s="716">
        <f t="shared" si="85"/>
        <v>0</v>
      </c>
      <c r="V169" s="717">
        <f t="shared" si="86"/>
        <v>0</v>
      </c>
      <c r="W169" s="717">
        <f t="shared" si="87"/>
        <v>0</v>
      </c>
      <c r="X169" s="717">
        <f t="shared" si="88"/>
        <v>0</v>
      </c>
      <c r="Y169" s="717">
        <f t="shared" si="89"/>
        <v>0</v>
      </c>
      <c r="Z169" s="717">
        <f t="shared" si="90"/>
        <v>0</v>
      </c>
      <c r="AA169" s="718">
        <f t="shared" si="91"/>
        <v>0</v>
      </c>
      <c r="AB169" s="716">
        <f t="shared" si="92"/>
        <v>0</v>
      </c>
      <c r="AC169" s="717">
        <f t="shared" si="93"/>
        <v>0</v>
      </c>
      <c r="AD169" s="717">
        <f t="shared" si="94"/>
        <v>0</v>
      </c>
      <c r="AE169" s="717">
        <f t="shared" si="95"/>
        <v>0</v>
      </c>
      <c r="AF169" s="717">
        <f t="shared" si="96"/>
        <v>0</v>
      </c>
      <c r="AG169" s="717">
        <f t="shared" si="97"/>
        <v>0</v>
      </c>
      <c r="AH169" s="718">
        <f t="shared" si="98"/>
        <v>0</v>
      </c>
      <c r="AI169" s="719">
        <f t="shared" si="99"/>
        <v>0</v>
      </c>
      <c r="AJ169" s="717">
        <f t="shared" si="100"/>
        <v>0</v>
      </c>
      <c r="AK169" s="717">
        <f t="shared" si="101"/>
        <v>0</v>
      </c>
      <c r="AL169" s="720">
        <f t="shared" si="102"/>
        <v>0</v>
      </c>
      <c r="AM169" s="721">
        <f t="shared" si="103"/>
        <v>0</v>
      </c>
      <c r="AN169" s="1611">
        <f t="shared" si="104"/>
        <v>0</v>
      </c>
      <c r="AO169" s="1612"/>
      <c r="AP169" s="686"/>
      <c r="AQ169" s="686"/>
      <c r="AR169" s="686"/>
    </row>
    <row r="170" spans="1:44">
      <c r="A170" s="582"/>
      <c r="B170" s="650" t="s">
        <v>1340</v>
      </c>
      <c r="C170" s="1608" t="str">
        <f t="shared" si="69"/>
        <v>-：（～）ｈ</v>
      </c>
      <c r="D170" s="1609"/>
      <c r="E170" s="1610"/>
      <c r="F170" s="715" t="str">
        <f t="shared" si="70"/>
        <v>-</v>
      </c>
      <c r="G170" s="716">
        <f t="shared" si="71"/>
        <v>0</v>
      </c>
      <c r="H170" s="717">
        <f t="shared" si="72"/>
        <v>0</v>
      </c>
      <c r="I170" s="717">
        <f t="shared" si="73"/>
        <v>0</v>
      </c>
      <c r="J170" s="717">
        <f t="shared" si="74"/>
        <v>0</v>
      </c>
      <c r="K170" s="717">
        <f t="shared" si="75"/>
        <v>0</v>
      </c>
      <c r="L170" s="717">
        <f t="shared" si="76"/>
        <v>0</v>
      </c>
      <c r="M170" s="718">
        <f t="shared" si="77"/>
        <v>0</v>
      </c>
      <c r="N170" s="716">
        <f t="shared" si="78"/>
        <v>0</v>
      </c>
      <c r="O170" s="717">
        <f t="shared" si="79"/>
        <v>0</v>
      </c>
      <c r="P170" s="717">
        <f t="shared" si="80"/>
        <v>0</v>
      </c>
      <c r="Q170" s="717">
        <f t="shared" si="81"/>
        <v>0</v>
      </c>
      <c r="R170" s="717">
        <f t="shared" si="82"/>
        <v>0</v>
      </c>
      <c r="S170" s="717">
        <f t="shared" si="83"/>
        <v>0</v>
      </c>
      <c r="T170" s="718">
        <f t="shared" si="84"/>
        <v>0</v>
      </c>
      <c r="U170" s="716">
        <f t="shared" si="85"/>
        <v>0</v>
      </c>
      <c r="V170" s="717">
        <f t="shared" si="86"/>
        <v>0</v>
      </c>
      <c r="W170" s="717">
        <f t="shared" si="87"/>
        <v>0</v>
      </c>
      <c r="X170" s="717">
        <f t="shared" si="88"/>
        <v>0</v>
      </c>
      <c r="Y170" s="717">
        <f t="shared" si="89"/>
        <v>0</v>
      </c>
      <c r="Z170" s="717">
        <f t="shared" si="90"/>
        <v>0</v>
      </c>
      <c r="AA170" s="718">
        <f t="shared" si="91"/>
        <v>0</v>
      </c>
      <c r="AB170" s="716">
        <f t="shared" si="92"/>
        <v>0</v>
      </c>
      <c r="AC170" s="717">
        <f t="shared" si="93"/>
        <v>0</v>
      </c>
      <c r="AD170" s="717">
        <f t="shared" si="94"/>
        <v>0</v>
      </c>
      <c r="AE170" s="717">
        <f t="shared" si="95"/>
        <v>0</v>
      </c>
      <c r="AF170" s="717">
        <f t="shared" si="96"/>
        <v>0</v>
      </c>
      <c r="AG170" s="717">
        <f t="shared" si="97"/>
        <v>0</v>
      </c>
      <c r="AH170" s="718">
        <f t="shared" si="98"/>
        <v>0</v>
      </c>
      <c r="AI170" s="719">
        <f t="shared" si="99"/>
        <v>0</v>
      </c>
      <c r="AJ170" s="717">
        <f t="shared" si="100"/>
        <v>0</v>
      </c>
      <c r="AK170" s="717">
        <f t="shared" si="101"/>
        <v>0</v>
      </c>
      <c r="AL170" s="720">
        <f t="shared" si="102"/>
        <v>0</v>
      </c>
      <c r="AM170" s="721">
        <f t="shared" si="103"/>
        <v>0</v>
      </c>
      <c r="AN170" s="1611">
        <f t="shared" si="104"/>
        <v>0</v>
      </c>
      <c r="AO170" s="1612"/>
      <c r="AP170" s="686"/>
      <c r="AQ170" s="686"/>
      <c r="AR170" s="686"/>
    </row>
    <row r="171" spans="1:44">
      <c r="A171" s="582"/>
      <c r="B171" s="650" t="s">
        <v>1341</v>
      </c>
      <c r="C171" s="1608" t="str">
        <f t="shared" si="69"/>
        <v>-：（～）ｈ</v>
      </c>
      <c r="D171" s="1609"/>
      <c r="E171" s="1610"/>
      <c r="F171" s="715" t="str">
        <f t="shared" si="70"/>
        <v>-</v>
      </c>
      <c r="G171" s="716">
        <f t="shared" si="71"/>
        <v>0</v>
      </c>
      <c r="H171" s="717">
        <f t="shared" si="72"/>
        <v>0</v>
      </c>
      <c r="I171" s="717">
        <f t="shared" si="73"/>
        <v>0</v>
      </c>
      <c r="J171" s="717">
        <f t="shared" si="74"/>
        <v>0</v>
      </c>
      <c r="K171" s="717">
        <f t="shared" si="75"/>
        <v>0</v>
      </c>
      <c r="L171" s="717">
        <f t="shared" si="76"/>
        <v>0</v>
      </c>
      <c r="M171" s="718">
        <f t="shared" si="77"/>
        <v>0</v>
      </c>
      <c r="N171" s="716">
        <f t="shared" si="78"/>
        <v>0</v>
      </c>
      <c r="O171" s="717">
        <f t="shared" si="79"/>
        <v>0</v>
      </c>
      <c r="P171" s="717">
        <f t="shared" si="80"/>
        <v>0</v>
      </c>
      <c r="Q171" s="717">
        <f t="shared" si="81"/>
        <v>0</v>
      </c>
      <c r="R171" s="717">
        <f t="shared" si="82"/>
        <v>0</v>
      </c>
      <c r="S171" s="717">
        <f t="shared" si="83"/>
        <v>0</v>
      </c>
      <c r="T171" s="718">
        <f t="shared" si="84"/>
        <v>0</v>
      </c>
      <c r="U171" s="716">
        <f t="shared" si="85"/>
        <v>0</v>
      </c>
      <c r="V171" s="717">
        <f t="shared" si="86"/>
        <v>0</v>
      </c>
      <c r="W171" s="717">
        <f t="shared" si="87"/>
        <v>0</v>
      </c>
      <c r="X171" s="717">
        <f t="shared" si="88"/>
        <v>0</v>
      </c>
      <c r="Y171" s="717">
        <f t="shared" si="89"/>
        <v>0</v>
      </c>
      <c r="Z171" s="717">
        <f t="shared" si="90"/>
        <v>0</v>
      </c>
      <c r="AA171" s="718">
        <f t="shared" si="91"/>
        <v>0</v>
      </c>
      <c r="AB171" s="716">
        <f t="shared" si="92"/>
        <v>0</v>
      </c>
      <c r="AC171" s="717">
        <f t="shared" si="93"/>
        <v>0</v>
      </c>
      <c r="AD171" s="717">
        <f t="shared" si="94"/>
        <v>0</v>
      </c>
      <c r="AE171" s="717">
        <f t="shared" si="95"/>
        <v>0</v>
      </c>
      <c r="AF171" s="717">
        <f t="shared" si="96"/>
        <v>0</v>
      </c>
      <c r="AG171" s="717">
        <f t="shared" si="97"/>
        <v>0</v>
      </c>
      <c r="AH171" s="718">
        <f t="shared" si="98"/>
        <v>0</v>
      </c>
      <c r="AI171" s="719">
        <f t="shared" si="99"/>
        <v>0</v>
      </c>
      <c r="AJ171" s="717">
        <f t="shared" si="100"/>
        <v>0</v>
      </c>
      <c r="AK171" s="717">
        <f t="shared" si="101"/>
        <v>0</v>
      </c>
      <c r="AL171" s="720">
        <f t="shared" si="102"/>
        <v>0</v>
      </c>
      <c r="AM171" s="721">
        <f t="shared" si="103"/>
        <v>0</v>
      </c>
      <c r="AN171" s="1611">
        <f t="shared" si="104"/>
        <v>0</v>
      </c>
      <c r="AO171" s="1612"/>
      <c r="AP171" s="686"/>
      <c r="AQ171" s="686"/>
      <c r="AR171" s="686"/>
    </row>
    <row r="172" spans="1:44">
      <c r="A172" s="582"/>
      <c r="B172" s="650" t="s">
        <v>1342</v>
      </c>
      <c r="C172" s="1608" t="str">
        <f t="shared" si="69"/>
        <v>-：（～）ｈ</v>
      </c>
      <c r="D172" s="1609"/>
      <c r="E172" s="1610"/>
      <c r="F172" s="715" t="str">
        <f t="shared" si="70"/>
        <v>-</v>
      </c>
      <c r="G172" s="716">
        <f t="shared" si="71"/>
        <v>0</v>
      </c>
      <c r="H172" s="717">
        <f t="shared" si="72"/>
        <v>0</v>
      </c>
      <c r="I172" s="717">
        <f t="shared" si="73"/>
        <v>0</v>
      </c>
      <c r="J172" s="717">
        <f t="shared" si="74"/>
        <v>0</v>
      </c>
      <c r="K172" s="717">
        <f t="shared" si="75"/>
        <v>0</v>
      </c>
      <c r="L172" s="717">
        <f t="shared" si="76"/>
        <v>0</v>
      </c>
      <c r="M172" s="718">
        <f t="shared" si="77"/>
        <v>0</v>
      </c>
      <c r="N172" s="716">
        <f t="shared" si="78"/>
        <v>0</v>
      </c>
      <c r="O172" s="717">
        <f t="shared" si="79"/>
        <v>0</v>
      </c>
      <c r="P172" s="717">
        <f t="shared" si="80"/>
        <v>0</v>
      </c>
      <c r="Q172" s="717">
        <f t="shared" si="81"/>
        <v>0</v>
      </c>
      <c r="R172" s="717">
        <f t="shared" si="82"/>
        <v>0</v>
      </c>
      <c r="S172" s="717">
        <f t="shared" si="83"/>
        <v>0</v>
      </c>
      <c r="T172" s="718">
        <f t="shared" si="84"/>
        <v>0</v>
      </c>
      <c r="U172" s="716">
        <f t="shared" si="85"/>
        <v>0</v>
      </c>
      <c r="V172" s="717">
        <f t="shared" si="86"/>
        <v>0</v>
      </c>
      <c r="W172" s="717">
        <f t="shared" si="87"/>
        <v>0</v>
      </c>
      <c r="X172" s="717">
        <f t="shared" si="88"/>
        <v>0</v>
      </c>
      <c r="Y172" s="717">
        <f t="shared" si="89"/>
        <v>0</v>
      </c>
      <c r="Z172" s="717">
        <f t="shared" si="90"/>
        <v>0</v>
      </c>
      <c r="AA172" s="718">
        <f t="shared" si="91"/>
        <v>0</v>
      </c>
      <c r="AB172" s="716">
        <f t="shared" si="92"/>
        <v>0</v>
      </c>
      <c r="AC172" s="717">
        <f t="shared" si="93"/>
        <v>0</v>
      </c>
      <c r="AD172" s="717">
        <f t="shared" si="94"/>
        <v>0</v>
      </c>
      <c r="AE172" s="717">
        <f t="shared" si="95"/>
        <v>0</v>
      </c>
      <c r="AF172" s="717">
        <f t="shared" si="96"/>
        <v>0</v>
      </c>
      <c r="AG172" s="717">
        <f t="shared" si="97"/>
        <v>0</v>
      </c>
      <c r="AH172" s="718">
        <f t="shared" si="98"/>
        <v>0</v>
      </c>
      <c r="AI172" s="719">
        <f t="shared" si="99"/>
        <v>0</v>
      </c>
      <c r="AJ172" s="717">
        <f t="shared" si="100"/>
        <v>0</v>
      </c>
      <c r="AK172" s="717">
        <f t="shared" si="101"/>
        <v>0</v>
      </c>
      <c r="AL172" s="720">
        <f t="shared" si="102"/>
        <v>0</v>
      </c>
      <c r="AM172" s="721">
        <f t="shared" si="103"/>
        <v>0</v>
      </c>
      <c r="AN172" s="1611">
        <f t="shared" si="104"/>
        <v>0</v>
      </c>
      <c r="AO172" s="1612"/>
      <c r="AP172" s="686"/>
      <c r="AQ172" s="686"/>
      <c r="AR172" s="686"/>
    </row>
    <row r="173" spans="1:44">
      <c r="A173" s="582"/>
      <c r="B173" s="650" t="s">
        <v>1343</v>
      </c>
      <c r="C173" s="1608" t="str">
        <f t="shared" si="69"/>
        <v>-：（～）ｈ</v>
      </c>
      <c r="D173" s="1609"/>
      <c r="E173" s="1610"/>
      <c r="F173" s="715" t="str">
        <f t="shared" si="70"/>
        <v>-</v>
      </c>
      <c r="G173" s="716">
        <f t="shared" si="71"/>
        <v>0</v>
      </c>
      <c r="H173" s="717">
        <f t="shared" si="72"/>
        <v>0</v>
      </c>
      <c r="I173" s="717">
        <f t="shared" si="73"/>
        <v>0</v>
      </c>
      <c r="J173" s="717">
        <f t="shared" si="74"/>
        <v>0</v>
      </c>
      <c r="K173" s="717">
        <f t="shared" si="75"/>
        <v>0</v>
      </c>
      <c r="L173" s="717">
        <f t="shared" si="76"/>
        <v>0</v>
      </c>
      <c r="M173" s="718">
        <f t="shared" si="77"/>
        <v>0</v>
      </c>
      <c r="N173" s="716">
        <f t="shared" si="78"/>
        <v>0</v>
      </c>
      <c r="O173" s="717">
        <f t="shared" si="79"/>
        <v>0</v>
      </c>
      <c r="P173" s="717">
        <f t="shared" si="80"/>
        <v>0</v>
      </c>
      <c r="Q173" s="717">
        <f t="shared" si="81"/>
        <v>0</v>
      </c>
      <c r="R173" s="717">
        <f t="shared" si="82"/>
        <v>0</v>
      </c>
      <c r="S173" s="717">
        <f t="shared" si="83"/>
        <v>0</v>
      </c>
      <c r="T173" s="718">
        <f t="shared" si="84"/>
        <v>0</v>
      </c>
      <c r="U173" s="716">
        <f t="shared" si="85"/>
        <v>0</v>
      </c>
      <c r="V173" s="717">
        <f t="shared" si="86"/>
        <v>0</v>
      </c>
      <c r="W173" s="717">
        <f t="shared" si="87"/>
        <v>0</v>
      </c>
      <c r="X173" s="717">
        <f t="shared" si="88"/>
        <v>0</v>
      </c>
      <c r="Y173" s="717">
        <f t="shared" si="89"/>
        <v>0</v>
      </c>
      <c r="Z173" s="717">
        <f t="shared" si="90"/>
        <v>0</v>
      </c>
      <c r="AA173" s="718">
        <f t="shared" si="91"/>
        <v>0</v>
      </c>
      <c r="AB173" s="716">
        <f t="shared" si="92"/>
        <v>0</v>
      </c>
      <c r="AC173" s="717">
        <f t="shared" si="93"/>
        <v>0</v>
      </c>
      <c r="AD173" s="717">
        <f t="shared" si="94"/>
        <v>0</v>
      </c>
      <c r="AE173" s="717">
        <f t="shared" si="95"/>
        <v>0</v>
      </c>
      <c r="AF173" s="717">
        <f t="shared" si="96"/>
        <v>0</v>
      </c>
      <c r="AG173" s="717">
        <f t="shared" si="97"/>
        <v>0</v>
      </c>
      <c r="AH173" s="718">
        <f t="shared" si="98"/>
        <v>0</v>
      </c>
      <c r="AI173" s="719">
        <f t="shared" si="99"/>
        <v>0</v>
      </c>
      <c r="AJ173" s="717">
        <f t="shared" si="100"/>
        <v>0</v>
      </c>
      <c r="AK173" s="717">
        <f t="shared" si="101"/>
        <v>0</v>
      </c>
      <c r="AL173" s="720">
        <f t="shared" si="102"/>
        <v>0</v>
      </c>
      <c r="AM173" s="721">
        <f t="shared" si="103"/>
        <v>0</v>
      </c>
      <c r="AN173" s="1611">
        <f t="shared" si="104"/>
        <v>0</v>
      </c>
      <c r="AO173" s="1612"/>
      <c r="AP173" s="686"/>
      <c r="AQ173" s="686"/>
      <c r="AR173" s="686"/>
    </row>
    <row r="174" spans="1:44">
      <c r="A174" s="582"/>
      <c r="B174" s="650" t="s">
        <v>1344</v>
      </c>
      <c r="C174" s="1608" t="str">
        <f t="shared" si="69"/>
        <v>-：（～）ｈ</v>
      </c>
      <c r="D174" s="1609"/>
      <c r="E174" s="1610"/>
      <c r="F174" s="715" t="str">
        <f t="shared" si="70"/>
        <v>-</v>
      </c>
      <c r="G174" s="716">
        <f t="shared" si="71"/>
        <v>0</v>
      </c>
      <c r="H174" s="717">
        <f t="shared" si="72"/>
        <v>0</v>
      </c>
      <c r="I174" s="717">
        <f t="shared" si="73"/>
        <v>0</v>
      </c>
      <c r="J174" s="717">
        <f t="shared" si="74"/>
        <v>0</v>
      </c>
      <c r="K174" s="717">
        <f t="shared" si="75"/>
        <v>0</v>
      </c>
      <c r="L174" s="717">
        <f t="shared" si="76"/>
        <v>0</v>
      </c>
      <c r="M174" s="718">
        <f t="shared" si="77"/>
        <v>0</v>
      </c>
      <c r="N174" s="716">
        <f t="shared" si="78"/>
        <v>0</v>
      </c>
      <c r="O174" s="717">
        <f t="shared" si="79"/>
        <v>0</v>
      </c>
      <c r="P174" s="717">
        <f t="shared" si="80"/>
        <v>0</v>
      </c>
      <c r="Q174" s="717">
        <f t="shared" si="81"/>
        <v>0</v>
      </c>
      <c r="R174" s="717">
        <f t="shared" si="82"/>
        <v>0</v>
      </c>
      <c r="S174" s="717">
        <f t="shared" si="83"/>
        <v>0</v>
      </c>
      <c r="T174" s="718">
        <f t="shared" si="84"/>
        <v>0</v>
      </c>
      <c r="U174" s="716">
        <f t="shared" si="85"/>
        <v>0</v>
      </c>
      <c r="V174" s="717">
        <f t="shared" si="86"/>
        <v>0</v>
      </c>
      <c r="W174" s="717">
        <f t="shared" si="87"/>
        <v>0</v>
      </c>
      <c r="X174" s="717">
        <f t="shared" si="88"/>
        <v>0</v>
      </c>
      <c r="Y174" s="717">
        <f t="shared" si="89"/>
        <v>0</v>
      </c>
      <c r="Z174" s="717">
        <f t="shared" si="90"/>
        <v>0</v>
      </c>
      <c r="AA174" s="718">
        <f t="shared" si="91"/>
        <v>0</v>
      </c>
      <c r="AB174" s="716">
        <f t="shared" si="92"/>
        <v>0</v>
      </c>
      <c r="AC174" s="717">
        <f t="shared" si="93"/>
        <v>0</v>
      </c>
      <c r="AD174" s="717">
        <f t="shared" si="94"/>
        <v>0</v>
      </c>
      <c r="AE174" s="717">
        <f t="shared" si="95"/>
        <v>0</v>
      </c>
      <c r="AF174" s="717">
        <f t="shared" si="96"/>
        <v>0</v>
      </c>
      <c r="AG174" s="717">
        <f t="shared" si="97"/>
        <v>0</v>
      </c>
      <c r="AH174" s="718">
        <f t="shared" si="98"/>
        <v>0</v>
      </c>
      <c r="AI174" s="719">
        <f t="shared" si="99"/>
        <v>0</v>
      </c>
      <c r="AJ174" s="717">
        <f t="shared" si="100"/>
        <v>0</v>
      </c>
      <c r="AK174" s="717">
        <f t="shared" si="101"/>
        <v>0</v>
      </c>
      <c r="AL174" s="720">
        <f t="shared" si="102"/>
        <v>0</v>
      </c>
      <c r="AM174" s="721">
        <f t="shared" si="103"/>
        <v>0</v>
      </c>
      <c r="AN174" s="1611">
        <f t="shared" si="104"/>
        <v>0</v>
      </c>
      <c r="AO174" s="1612"/>
      <c r="AP174" s="686"/>
      <c r="AQ174" s="686"/>
      <c r="AR174" s="686"/>
    </row>
    <row r="175" spans="1:44">
      <c r="A175" s="582"/>
      <c r="B175" s="650" t="s">
        <v>1345</v>
      </c>
      <c r="C175" s="1613" t="str">
        <f t="shared" si="69"/>
        <v>-：（～）ｈ</v>
      </c>
      <c r="D175" s="1614"/>
      <c r="E175" s="1615"/>
      <c r="F175" s="722" t="str">
        <f t="shared" si="70"/>
        <v>-</v>
      </c>
      <c r="G175" s="723">
        <f t="shared" si="71"/>
        <v>0</v>
      </c>
      <c r="H175" s="724">
        <f t="shared" si="72"/>
        <v>0</v>
      </c>
      <c r="I175" s="724">
        <f t="shared" si="73"/>
        <v>0</v>
      </c>
      <c r="J175" s="724">
        <f t="shared" si="74"/>
        <v>0</v>
      </c>
      <c r="K175" s="724">
        <f t="shared" si="75"/>
        <v>0</v>
      </c>
      <c r="L175" s="724">
        <f t="shared" si="76"/>
        <v>0</v>
      </c>
      <c r="M175" s="725">
        <f t="shared" si="77"/>
        <v>0</v>
      </c>
      <c r="N175" s="723">
        <f t="shared" si="78"/>
        <v>0</v>
      </c>
      <c r="O175" s="724">
        <f t="shared" si="79"/>
        <v>0</v>
      </c>
      <c r="P175" s="724">
        <f t="shared" si="80"/>
        <v>0</v>
      </c>
      <c r="Q175" s="724">
        <f t="shared" si="81"/>
        <v>0</v>
      </c>
      <c r="R175" s="724">
        <f t="shared" si="82"/>
        <v>0</v>
      </c>
      <c r="S175" s="724">
        <f t="shared" si="83"/>
        <v>0</v>
      </c>
      <c r="T175" s="725">
        <f t="shared" si="84"/>
        <v>0</v>
      </c>
      <c r="U175" s="723">
        <f t="shared" si="85"/>
        <v>0</v>
      </c>
      <c r="V175" s="724">
        <f t="shared" si="86"/>
        <v>0</v>
      </c>
      <c r="W175" s="724">
        <f t="shared" si="87"/>
        <v>0</v>
      </c>
      <c r="X175" s="724">
        <f t="shared" si="88"/>
        <v>0</v>
      </c>
      <c r="Y175" s="724">
        <f t="shared" si="89"/>
        <v>0</v>
      </c>
      <c r="Z175" s="724">
        <f t="shared" si="90"/>
        <v>0</v>
      </c>
      <c r="AA175" s="725">
        <f t="shared" si="91"/>
        <v>0</v>
      </c>
      <c r="AB175" s="723">
        <f t="shared" si="92"/>
        <v>0</v>
      </c>
      <c r="AC175" s="724">
        <f t="shared" si="93"/>
        <v>0</v>
      </c>
      <c r="AD175" s="724">
        <f t="shared" si="94"/>
        <v>0</v>
      </c>
      <c r="AE175" s="724">
        <f t="shared" si="95"/>
        <v>0</v>
      </c>
      <c r="AF175" s="724">
        <f t="shared" si="96"/>
        <v>0</v>
      </c>
      <c r="AG175" s="724">
        <f t="shared" si="97"/>
        <v>0</v>
      </c>
      <c r="AH175" s="725">
        <f t="shared" si="98"/>
        <v>0</v>
      </c>
      <c r="AI175" s="726">
        <f t="shared" si="99"/>
        <v>0</v>
      </c>
      <c r="AJ175" s="724">
        <f t="shared" si="100"/>
        <v>0</v>
      </c>
      <c r="AK175" s="724">
        <f t="shared" si="101"/>
        <v>0</v>
      </c>
      <c r="AL175" s="727">
        <f t="shared" si="102"/>
        <v>0</v>
      </c>
      <c r="AM175" s="728">
        <f t="shared" si="103"/>
        <v>0</v>
      </c>
      <c r="AN175" s="1616">
        <f t="shared" si="104"/>
        <v>0</v>
      </c>
      <c r="AO175" s="1617"/>
      <c r="AP175" s="686"/>
      <c r="AQ175" s="686"/>
      <c r="AR175" s="686"/>
    </row>
    <row r="176" spans="1:44" ht="13.5" customHeight="1">
      <c r="A176" s="582"/>
      <c r="C176" s="729"/>
      <c r="G176" s="730"/>
      <c r="H176" s="594"/>
      <c r="I176" s="594"/>
      <c r="J176" s="594"/>
      <c r="K176" s="594"/>
      <c r="L176" s="594"/>
      <c r="M176" s="594"/>
      <c r="N176" s="594"/>
      <c r="O176" s="594"/>
      <c r="P176" s="594"/>
      <c r="Q176" s="594"/>
      <c r="R176" s="594"/>
      <c r="S176" s="594"/>
      <c r="T176" s="594"/>
      <c r="U176" s="594"/>
      <c r="V176" s="594"/>
      <c r="W176" s="594"/>
      <c r="X176" s="594"/>
      <c r="Y176" s="594"/>
      <c r="Z176" s="594"/>
      <c r="AA176" s="594"/>
      <c r="AB176" s="594"/>
      <c r="AC176" s="594"/>
      <c r="AD176" s="594"/>
      <c r="AE176" s="594"/>
      <c r="AF176" s="594"/>
      <c r="AG176" s="594"/>
      <c r="AH176" s="594"/>
      <c r="AI176" s="1595" t="s">
        <v>1346</v>
      </c>
      <c r="AJ176" s="1595"/>
      <c r="AK176" s="1595"/>
      <c r="AL176" s="1595"/>
      <c r="AM176" s="1596"/>
      <c r="AN176" s="1597">
        <f>SUM(AN151:AO175)</f>
        <v>0</v>
      </c>
      <c r="AO176" s="1598"/>
      <c r="AP176" s="594"/>
      <c r="AQ176" s="594"/>
      <c r="AR176" s="594"/>
    </row>
    <row r="177" spans="1:44" ht="13.5" customHeight="1">
      <c r="A177" s="582"/>
      <c r="C177" s="729"/>
      <c r="G177" s="730"/>
      <c r="H177" s="594"/>
      <c r="I177" s="594"/>
      <c r="J177" s="594"/>
      <c r="K177" s="594"/>
      <c r="L177" s="594"/>
      <c r="M177" s="594"/>
      <c r="N177" s="594"/>
      <c r="O177" s="594"/>
      <c r="P177" s="594"/>
      <c r="Q177" s="594"/>
      <c r="R177" s="594"/>
      <c r="S177" s="594"/>
      <c r="T177" s="594"/>
      <c r="U177" s="594"/>
      <c r="V177" s="594"/>
      <c r="W177" s="594"/>
      <c r="X177" s="594"/>
      <c r="Y177" s="594"/>
      <c r="Z177" s="594"/>
      <c r="AA177" s="594"/>
      <c r="AB177" s="594"/>
      <c r="AC177" s="594"/>
      <c r="AD177" s="594"/>
      <c r="AE177" s="594"/>
      <c r="AF177" s="594"/>
      <c r="AG177" s="594"/>
      <c r="AH177" s="594"/>
      <c r="AI177" s="731"/>
      <c r="AJ177" s="731"/>
      <c r="AK177" s="731"/>
      <c r="AL177" s="731"/>
      <c r="AM177" s="731"/>
      <c r="AN177" s="732"/>
      <c r="AO177" s="732"/>
      <c r="AP177" s="594"/>
      <c r="AQ177" s="594"/>
      <c r="AR177" s="594"/>
    </row>
    <row r="178" spans="1:44" ht="14.4">
      <c r="A178" s="582"/>
      <c r="C178" s="583" t="s">
        <v>1347</v>
      </c>
      <c r="G178" s="730"/>
      <c r="H178" s="594"/>
      <c r="I178" s="594"/>
      <c r="J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594"/>
      <c r="AL178" s="594"/>
      <c r="AM178" s="594"/>
      <c r="AN178" s="594"/>
      <c r="AO178" s="594"/>
      <c r="AP178" s="594"/>
      <c r="AQ178" s="594"/>
      <c r="AR178" s="594"/>
    </row>
    <row r="179" spans="1:44">
      <c r="A179" s="582"/>
      <c r="C179" s="729"/>
      <c r="G179" s="730"/>
      <c r="H179" s="594"/>
      <c r="I179" s="594"/>
      <c r="J179" s="594"/>
      <c r="K179" s="594"/>
      <c r="L179" s="594"/>
      <c r="M179" s="594"/>
      <c r="N179" s="594"/>
      <c r="O179" s="594"/>
      <c r="P179" s="594"/>
      <c r="Q179" s="594"/>
      <c r="R179" s="594"/>
      <c r="S179" s="594"/>
      <c r="T179" s="594"/>
      <c r="U179" s="594"/>
      <c r="V179" s="594"/>
      <c r="W179" s="594"/>
      <c r="X179" s="594"/>
      <c r="Y179" s="594"/>
      <c r="Z179" s="594"/>
      <c r="AA179" s="594"/>
      <c r="AB179" s="594"/>
      <c r="AC179" s="594"/>
      <c r="AD179" s="594"/>
      <c r="AE179" s="594"/>
      <c r="AF179" s="594"/>
      <c r="AG179" s="594"/>
      <c r="AH179" s="594"/>
      <c r="AI179" s="594"/>
      <c r="AJ179" s="594"/>
      <c r="AK179" s="594"/>
      <c r="AL179" s="594"/>
      <c r="AM179" s="594"/>
      <c r="AN179" s="594"/>
      <c r="AO179" s="594"/>
      <c r="AP179" s="594"/>
      <c r="AQ179" s="594"/>
      <c r="AR179" s="594"/>
    </row>
    <row r="180" spans="1:44">
      <c r="A180" s="582"/>
      <c r="C180" s="582" t="s">
        <v>1348</v>
      </c>
      <c r="G180" s="730"/>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594"/>
      <c r="AL180" s="594"/>
      <c r="AM180" s="594"/>
      <c r="AN180" s="594"/>
      <c r="AO180" s="594"/>
      <c r="AP180" s="594"/>
      <c r="AQ180" s="594"/>
      <c r="AR180" s="594"/>
    </row>
    <row r="181" spans="1:44">
      <c r="A181" s="582"/>
      <c r="C181" s="592" t="s">
        <v>1349</v>
      </c>
    </row>
    <row r="182" spans="1:44">
      <c r="A182" s="582"/>
      <c r="C182" s="592" t="s">
        <v>1350</v>
      </c>
    </row>
    <row r="183" spans="1:44">
      <c r="A183" s="582"/>
      <c r="C183" s="592" t="s">
        <v>1351</v>
      </c>
    </row>
    <row r="184" spans="1:44">
      <c r="A184" s="582"/>
      <c r="C184" s="592"/>
      <c r="D184" s="594" t="s">
        <v>1352</v>
      </c>
    </row>
    <row r="185" spans="1:44">
      <c r="A185" s="582"/>
      <c r="C185" s="592" t="s">
        <v>1353</v>
      </c>
    </row>
    <row r="186" spans="1:44">
      <c r="A186" s="582"/>
      <c r="C186" s="592"/>
      <c r="D186" s="594" t="s">
        <v>1354</v>
      </c>
      <c r="E186" s="594"/>
      <c r="F186" s="594"/>
    </row>
    <row r="187" spans="1:44">
      <c r="A187" s="582"/>
      <c r="C187" s="592" t="s">
        <v>1355</v>
      </c>
    </row>
    <row r="188" spans="1:44">
      <c r="A188" s="582"/>
      <c r="C188" s="592" t="s">
        <v>1356</v>
      </c>
    </row>
    <row r="189" spans="1:44">
      <c r="A189" s="582"/>
    </row>
    <row r="190" spans="1:44" ht="14.4">
      <c r="A190" s="582"/>
      <c r="C190" s="583" t="s">
        <v>1357</v>
      </c>
    </row>
    <row r="191" spans="1:44" ht="12.6" thickBot="1">
      <c r="A191" s="582"/>
    </row>
    <row r="192" spans="1:44">
      <c r="A192" s="582"/>
      <c r="C192" s="1599" t="s">
        <v>1358</v>
      </c>
      <c r="D192" s="1600"/>
      <c r="E192" s="1600"/>
      <c r="F192" s="733"/>
      <c r="G192" s="1603"/>
      <c r="H192" s="1603"/>
      <c r="I192" s="1590" t="s">
        <v>1359</v>
      </c>
      <c r="J192" s="1590"/>
      <c r="K192" s="734"/>
      <c r="L192" s="1590" t="s">
        <v>1360</v>
      </c>
      <c r="M192" s="1590"/>
      <c r="N192" s="1604">
        <f>G192*K192</f>
        <v>0</v>
      </c>
      <c r="O192" s="1604"/>
      <c r="P192" s="735" t="s">
        <v>1361</v>
      </c>
      <c r="Q192" s="1605"/>
      <c r="R192" s="1605"/>
      <c r="Z192" s="1599" t="s">
        <v>1362</v>
      </c>
      <c r="AA192" s="1600"/>
      <c r="AB192" s="1600"/>
      <c r="AC192" s="1606"/>
      <c r="AD192" s="1584" t="s">
        <v>1363</v>
      </c>
      <c r="AE192" s="1585"/>
      <c r="AF192" s="1588"/>
      <c r="AG192" s="1588"/>
      <c r="AH192" s="1590" t="s">
        <v>1365</v>
      </c>
      <c r="AI192" s="1588"/>
      <c r="AJ192" s="1588"/>
      <c r="AK192" s="1591"/>
      <c r="AL192" s="1591"/>
      <c r="AM192" s="1593" t="s">
        <v>1367</v>
      </c>
    </row>
    <row r="193" spans="1:48" ht="12.6" thickBot="1">
      <c r="A193" s="582"/>
      <c r="C193" s="1601"/>
      <c r="D193" s="1602"/>
      <c r="E193" s="1602"/>
      <c r="F193" s="736"/>
      <c r="G193" s="736"/>
      <c r="H193" s="736"/>
      <c r="I193" s="737"/>
      <c r="J193" s="737"/>
      <c r="K193" s="738"/>
      <c r="L193" s="1581" t="s">
        <v>1368</v>
      </c>
      <c r="M193" s="1581"/>
      <c r="N193" s="1582">
        <f>N192*K193</f>
        <v>0</v>
      </c>
      <c r="O193" s="1582"/>
      <c r="P193" s="739" t="s">
        <v>1369</v>
      </c>
      <c r="Z193" s="1601"/>
      <c r="AA193" s="1602"/>
      <c r="AB193" s="1602"/>
      <c r="AC193" s="1607"/>
      <c r="AD193" s="1586"/>
      <c r="AE193" s="1587"/>
      <c r="AF193" s="1589"/>
      <c r="AG193" s="1589"/>
      <c r="AH193" s="1581"/>
      <c r="AI193" s="1589"/>
      <c r="AJ193" s="1589"/>
      <c r="AK193" s="1592"/>
      <c r="AL193" s="1592"/>
      <c r="AM193" s="1594"/>
    </row>
    <row r="194" spans="1:48">
      <c r="A194" s="582"/>
      <c r="C194" s="683"/>
      <c r="D194" s="683"/>
      <c r="E194" s="683"/>
      <c r="F194" s="683"/>
      <c r="G194" s="683"/>
      <c r="H194" s="683"/>
      <c r="I194" s="683"/>
      <c r="J194" s="683"/>
      <c r="K194" s="683"/>
      <c r="L194" s="683"/>
      <c r="M194" s="683"/>
      <c r="N194" s="683"/>
      <c r="O194" s="683"/>
      <c r="P194" s="683"/>
      <c r="AC194" s="584" t="s">
        <v>1370</v>
      </c>
    </row>
    <row r="195" spans="1:48">
      <c r="A195" s="582"/>
      <c r="C195" s="683"/>
      <c r="D195" s="683"/>
      <c r="E195" s="683"/>
      <c r="F195" s="683"/>
      <c r="G195" s="683"/>
      <c r="H195" s="683"/>
      <c r="I195" s="582" t="s">
        <v>1371</v>
      </c>
      <c r="J195" s="683"/>
      <c r="K195" s="683"/>
      <c r="L195" s="683"/>
      <c r="M195" s="683"/>
      <c r="N195" s="683"/>
      <c r="O195" s="683"/>
      <c r="P195" s="683"/>
      <c r="AC195" s="584"/>
    </row>
    <row r="196" spans="1:48" ht="15.9" customHeight="1" thickBot="1">
      <c r="A196" s="582"/>
      <c r="E196" s="740" t="s">
        <v>1227</v>
      </c>
      <c r="F196" s="1574" t="s">
        <v>1372</v>
      </c>
      <c r="G196" s="1576"/>
      <c r="I196" s="1583" t="s">
        <v>1373</v>
      </c>
      <c r="J196" s="1583"/>
      <c r="K196" s="1583" t="s">
        <v>1374</v>
      </c>
      <c r="L196" s="1583"/>
      <c r="M196" s="1574" t="s">
        <v>1375</v>
      </c>
      <c r="N196" s="1575"/>
      <c r="O196" s="1575"/>
      <c r="P196" s="1575"/>
      <c r="Q196" s="1576"/>
      <c r="S196" s="1574" t="s">
        <v>1376</v>
      </c>
      <c r="T196" s="1575"/>
      <c r="U196" s="1575"/>
      <c r="V196" s="1575"/>
      <c r="W196" s="1576"/>
      <c r="Z196" s="1577"/>
      <c r="AA196" s="1577"/>
      <c r="AB196" s="1577"/>
      <c r="AC196" s="1577" t="s">
        <v>1377</v>
      </c>
      <c r="AD196" s="1577"/>
      <c r="AE196" s="1577"/>
      <c r="AF196" s="1577" t="s">
        <v>1378</v>
      </c>
      <c r="AG196" s="1577"/>
      <c r="AH196" s="1577"/>
      <c r="AI196" s="1577"/>
      <c r="AJ196" s="1577"/>
      <c r="AK196" s="1577" t="s">
        <v>1319</v>
      </c>
      <c r="AL196" s="1577"/>
      <c r="AM196" s="1577"/>
      <c r="AN196" s="741" t="s">
        <v>1379</v>
      </c>
      <c r="AP196" s="1578" t="s">
        <v>1380</v>
      </c>
      <c r="AQ196" s="1579"/>
      <c r="AR196" s="1580"/>
    </row>
    <row r="197" spans="1:48" ht="15.9" customHeight="1">
      <c r="A197" s="582"/>
      <c r="E197" s="742" t="s">
        <v>1381</v>
      </c>
      <c r="F197" s="1568">
        <f t="shared" ref="F197:F221" si="105">IF(E197="","",COUNTIF($C$10:$C$141,E197))</f>
        <v>0</v>
      </c>
      <c r="G197" s="1569"/>
      <c r="I197" s="1570">
        <f t="shared" ref="I197:I221" si="106">SUMIF($AN$10:$AN$141,E197,$AP$10:$AP$141)</f>
        <v>0</v>
      </c>
      <c r="J197" s="1570"/>
      <c r="K197" s="1570">
        <f t="shared" ref="K197:K221" si="107">SUMIF($AN$10:$AN$141,E197,$AR$10:$AR$141)</f>
        <v>0</v>
      </c>
      <c r="L197" s="1570"/>
      <c r="M197" s="1571">
        <f t="shared" ref="M197:M221" si="108">SUM(I197:L197)</f>
        <v>0</v>
      </c>
      <c r="N197" s="1557"/>
      <c r="O197" s="743" t="s">
        <v>1382</v>
      </c>
      <c r="P197" s="1557">
        <f t="shared" ref="P197:P221" si="109">ROUNDDOWN(SUM(M197),1)</f>
        <v>0</v>
      </c>
      <c r="Q197" s="1558"/>
      <c r="S197" s="1572">
        <f t="shared" ref="S197:S221" si="110">SUMIF($AN$10:$AN$141,E197,$AQ$10:$AQ$141)</f>
        <v>0</v>
      </c>
      <c r="T197" s="1573"/>
      <c r="U197" s="743" t="s">
        <v>1382</v>
      </c>
      <c r="V197" s="1557">
        <f>ROUNDDOWN(SUM(S197),1)</f>
        <v>0</v>
      </c>
      <c r="W197" s="1558"/>
      <c r="Y197" s="744" t="s">
        <v>1383</v>
      </c>
      <c r="Z197" s="1559"/>
      <c r="AA197" s="1560"/>
      <c r="AB197" s="1560"/>
      <c r="AC197" s="745" t="s">
        <v>1384</v>
      </c>
      <c r="AD197" s="1561" t="s">
        <v>1385</v>
      </c>
      <c r="AE197" s="1562"/>
      <c r="AF197" s="1563" t="s">
        <v>1364</v>
      </c>
      <c r="AG197" s="1564"/>
      <c r="AH197" s="746" t="s">
        <v>1365</v>
      </c>
      <c r="AI197" s="1564" t="s">
        <v>1386</v>
      </c>
      <c r="AJ197" s="1565"/>
      <c r="AK197" s="1566">
        <v>7.5</v>
      </c>
      <c r="AL197" s="1567"/>
      <c r="AM197" s="747" t="s">
        <v>1367</v>
      </c>
      <c r="AN197" s="748" t="str">
        <f>CONCATENATE(AC197,"：",AD197,"（",AK197,AM197,"）、")</f>
        <v>夜：夜勤（7.5ｈ）、</v>
      </c>
      <c r="AO197" s="582" t="str">
        <f>IF(AC197="","",AC197)</f>
        <v>夜</v>
      </c>
      <c r="AP197" s="749">
        <v>7.5</v>
      </c>
      <c r="AQ197" s="750"/>
      <c r="AR197" s="751">
        <f>SUM(AP197:AQ197)</f>
        <v>7.5</v>
      </c>
      <c r="AU197" s="752"/>
      <c r="AV197" s="753"/>
    </row>
    <row r="198" spans="1:48" ht="15.9" customHeight="1" thickBot="1">
      <c r="A198" s="582"/>
      <c r="E198" s="754" t="s">
        <v>1387</v>
      </c>
      <c r="F198" s="1534">
        <f t="shared" si="105"/>
        <v>0</v>
      </c>
      <c r="G198" s="1535"/>
      <c r="I198" s="1536">
        <f t="shared" si="106"/>
        <v>0</v>
      </c>
      <c r="J198" s="1536"/>
      <c r="K198" s="1536">
        <f t="shared" si="107"/>
        <v>0</v>
      </c>
      <c r="L198" s="1536"/>
      <c r="M198" s="1537">
        <f t="shared" si="108"/>
        <v>0</v>
      </c>
      <c r="N198" s="1524"/>
      <c r="O198" s="755" t="s">
        <v>1382</v>
      </c>
      <c r="P198" s="1524">
        <f t="shared" si="109"/>
        <v>0</v>
      </c>
      <c r="Q198" s="1525"/>
      <c r="S198" s="1538">
        <f t="shared" si="110"/>
        <v>0</v>
      </c>
      <c r="T198" s="1539"/>
      <c r="U198" s="755" t="s">
        <v>1382</v>
      </c>
      <c r="V198" s="1524">
        <f t="shared" ref="V198:V221" si="111">ROUNDDOWN(SUM(S198),1)</f>
        <v>0</v>
      </c>
      <c r="W198" s="1525"/>
      <c r="Y198" s="744" t="s">
        <v>1388</v>
      </c>
      <c r="Z198" s="1548"/>
      <c r="AA198" s="1549"/>
      <c r="AB198" s="1549"/>
      <c r="AC198" s="756" t="s">
        <v>1389</v>
      </c>
      <c r="AD198" s="1550" t="s">
        <v>1390</v>
      </c>
      <c r="AE198" s="1551"/>
      <c r="AF198" s="1552" t="s">
        <v>1386</v>
      </c>
      <c r="AG198" s="1553"/>
      <c r="AH198" s="757" t="s">
        <v>1365</v>
      </c>
      <c r="AI198" s="1553" t="s">
        <v>1366</v>
      </c>
      <c r="AJ198" s="1554"/>
      <c r="AK198" s="1555">
        <v>7.25</v>
      </c>
      <c r="AL198" s="1556"/>
      <c r="AM198" s="758" t="s">
        <v>1367</v>
      </c>
      <c r="AN198" s="759" t="str">
        <f t="shared" ref="AN198:AN221" si="112">CONCATENATE(AC198,"：",AD198,"（",AK198,AM198,"）、")</f>
        <v>明：明け（7.25ｈ）、</v>
      </c>
      <c r="AO198" s="582" t="str">
        <f t="shared" ref="AO198:AO221" si="113">IF(AC198="","",AC198)</f>
        <v>明</v>
      </c>
      <c r="AP198" s="760"/>
      <c r="AQ198" s="761">
        <v>7.25</v>
      </c>
      <c r="AR198" s="762">
        <f t="shared" ref="AR198:AR221" si="114">SUM(AP198:AQ198)</f>
        <v>7.25</v>
      </c>
      <c r="AU198" s="752"/>
      <c r="AV198" s="753"/>
    </row>
    <row r="199" spans="1:48" ht="15.9" customHeight="1">
      <c r="A199" s="582"/>
      <c r="E199" s="754" t="s">
        <v>1391</v>
      </c>
      <c r="F199" s="1534">
        <f t="shared" si="105"/>
        <v>0</v>
      </c>
      <c r="G199" s="1535"/>
      <c r="I199" s="1536">
        <f t="shared" si="106"/>
        <v>0</v>
      </c>
      <c r="J199" s="1536"/>
      <c r="K199" s="1536">
        <f t="shared" si="107"/>
        <v>0</v>
      </c>
      <c r="L199" s="1536"/>
      <c r="M199" s="1537">
        <f t="shared" si="108"/>
        <v>0</v>
      </c>
      <c r="N199" s="1524"/>
      <c r="O199" s="755" t="s">
        <v>1382</v>
      </c>
      <c r="P199" s="1524">
        <f t="shared" si="109"/>
        <v>0</v>
      </c>
      <c r="Q199" s="1525"/>
      <c r="S199" s="1538">
        <f t="shared" si="110"/>
        <v>0</v>
      </c>
      <c r="T199" s="1539"/>
      <c r="U199" s="755" t="s">
        <v>1382</v>
      </c>
      <c r="V199" s="1524">
        <f t="shared" si="111"/>
        <v>0</v>
      </c>
      <c r="W199" s="1525"/>
      <c r="Y199" s="744" t="s">
        <v>1392</v>
      </c>
      <c r="Z199" s="1540"/>
      <c r="AA199" s="1540"/>
      <c r="AB199" s="1540"/>
      <c r="AC199" s="763" t="s">
        <v>1314</v>
      </c>
      <c r="AD199" s="1541" t="s">
        <v>1393</v>
      </c>
      <c r="AE199" s="1542"/>
      <c r="AF199" s="1543" t="s">
        <v>1394</v>
      </c>
      <c r="AG199" s="1544"/>
      <c r="AH199" s="764" t="s">
        <v>1365</v>
      </c>
      <c r="AI199" s="1544" t="s">
        <v>1395</v>
      </c>
      <c r="AJ199" s="1545"/>
      <c r="AK199" s="1546">
        <v>7.75</v>
      </c>
      <c r="AL199" s="1547"/>
      <c r="AM199" s="765" t="s">
        <v>1367</v>
      </c>
      <c r="AN199" s="766" t="str">
        <f t="shared" si="112"/>
        <v>①：日勤Ａ（7.75ｈ）、</v>
      </c>
      <c r="AO199" s="582" t="str">
        <f t="shared" si="113"/>
        <v>①</v>
      </c>
      <c r="AP199" s="767">
        <v>0.57999999999999996</v>
      </c>
      <c r="AQ199" s="767">
        <v>0.75</v>
      </c>
      <c r="AR199" s="768">
        <f t="shared" si="114"/>
        <v>1.33</v>
      </c>
      <c r="AU199" s="752"/>
      <c r="AV199" s="753"/>
    </row>
    <row r="200" spans="1:48" ht="15.9" customHeight="1">
      <c r="A200" s="582"/>
      <c r="E200" s="754" t="s">
        <v>1396</v>
      </c>
      <c r="F200" s="1534">
        <f t="shared" si="105"/>
        <v>0</v>
      </c>
      <c r="G200" s="1535"/>
      <c r="I200" s="1536">
        <f t="shared" si="106"/>
        <v>0</v>
      </c>
      <c r="J200" s="1536"/>
      <c r="K200" s="1536">
        <f t="shared" si="107"/>
        <v>0</v>
      </c>
      <c r="L200" s="1536"/>
      <c r="M200" s="1537">
        <f t="shared" si="108"/>
        <v>0</v>
      </c>
      <c r="N200" s="1524"/>
      <c r="O200" s="755" t="s">
        <v>1382</v>
      </c>
      <c r="P200" s="1524">
        <f t="shared" si="109"/>
        <v>0</v>
      </c>
      <c r="Q200" s="1525"/>
      <c r="S200" s="1538">
        <f t="shared" si="110"/>
        <v>0</v>
      </c>
      <c r="T200" s="1539"/>
      <c r="U200" s="755" t="s">
        <v>1382</v>
      </c>
      <c r="V200" s="1524">
        <f t="shared" si="111"/>
        <v>0</v>
      </c>
      <c r="W200" s="1525"/>
      <c r="Y200" s="744" t="s">
        <v>1397</v>
      </c>
      <c r="Z200" s="1526"/>
      <c r="AA200" s="1526"/>
      <c r="AB200" s="1526"/>
      <c r="AC200" s="769" t="s">
        <v>1315</v>
      </c>
      <c r="AD200" s="1527" t="s">
        <v>1398</v>
      </c>
      <c r="AE200" s="1528"/>
      <c r="AF200" s="1529" t="s">
        <v>1399</v>
      </c>
      <c r="AG200" s="1530"/>
      <c r="AH200" s="770" t="s">
        <v>1365</v>
      </c>
      <c r="AI200" s="1530" t="s">
        <v>1400</v>
      </c>
      <c r="AJ200" s="1531"/>
      <c r="AK200" s="1532">
        <v>7.75</v>
      </c>
      <c r="AL200" s="1533"/>
      <c r="AM200" s="771" t="s">
        <v>1367</v>
      </c>
      <c r="AN200" s="772" t="str">
        <f t="shared" si="112"/>
        <v>②：早出（7.75ｈ）、</v>
      </c>
      <c r="AO200" s="582" t="str">
        <f t="shared" si="113"/>
        <v>②</v>
      </c>
      <c r="AP200" s="773">
        <v>2.08</v>
      </c>
      <c r="AQ200" s="773"/>
      <c r="AR200" s="774">
        <f t="shared" si="114"/>
        <v>2.08</v>
      </c>
      <c r="AU200" s="752"/>
      <c r="AV200" s="753"/>
    </row>
    <row r="201" spans="1:48" ht="15.9" customHeight="1">
      <c r="A201" s="582"/>
      <c r="E201" s="775" t="s">
        <v>1401</v>
      </c>
      <c r="F201" s="1534">
        <f t="shared" si="105"/>
        <v>0</v>
      </c>
      <c r="G201" s="1535"/>
      <c r="I201" s="1536">
        <f t="shared" si="106"/>
        <v>0</v>
      </c>
      <c r="J201" s="1536"/>
      <c r="K201" s="1536">
        <f t="shared" si="107"/>
        <v>0</v>
      </c>
      <c r="L201" s="1536"/>
      <c r="M201" s="1537">
        <f t="shared" si="108"/>
        <v>0</v>
      </c>
      <c r="N201" s="1524"/>
      <c r="O201" s="755" t="s">
        <v>1382</v>
      </c>
      <c r="P201" s="1524">
        <f t="shared" si="109"/>
        <v>0</v>
      </c>
      <c r="Q201" s="1525"/>
      <c r="S201" s="1538">
        <f t="shared" si="110"/>
        <v>0</v>
      </c>
      <c r="T201" s="1539"/>
      <c r="U201" s="755" t="s">
        <v>1382</v>
      </c>
      <c r="V201" s="1524">
        <f t="shared" si="111"/>
        <v>0</v>
      </c>
      <c r="W201" s="1525"/>
      <c r="Y201" s="744" t="s">
        <v>1402</v>
      </c>
      <c r="Z201" s="1526"/>
      <c r="AA201" s="1526"/>
      <c r="AB201" s="1526"/>
      <c r="AC201" s="769" t="s">
        <v>1316</v>
      </c>
      <c r="AD201" s="1527" t="s">
        <v>1403</v>
      </c>
      <c r="AE201" s="1528"/>
      <c r="AF201" s="1529" t="s">
        <v>1404</v>
      </c>
      <c r="AG201" s="1530"/>
      <c r="AH201" s="770" t="s">
        <v>1365</v>
      </c>
      <c r="AI201" s="1530" t="s">
        <v>1405</v>
      </c>
      <c r="AJ201" s="1531"/>
      <c r="AK201" s="1532">
        <v>7.75</v>
      </c>
      <c r="AL201" s="1533"/>
      <c r="AM201" s="771" t="s">
        <v>1367</v>
      </c>
      <c r="AN201" s="772" t="str">
        <f t="shared" si="112"/>
        <v>③：遅出（7.75ｈ）、</v>
      </c>
      <c r="AO201" s="582" t="str">
        <f t="shared" si="113"/>
        <v>③</v>
      </c>
      <c r="AP201" s="773"/>
      <c r="AQ201" s="773">
        <v>2.5</v>
      </c>
      <c r="AR201" s="774">
        <f t="shared" si="114"/>
        <v>2.5</v>
      </c>
      <c r="AU201" s="752"/>
      <c r="AV201" s="753"/>
    </row>
    <row r="202" spans="1:48" ht="15.9" customHeight="1">
      <c r="A202" s="582"/>
      <c r="E202" s="775" t="s">
        <v>1406</v>
      </c>
      <c r="F202" s="1534">
        <f t="shared" si="105"/>
        <v>0</v>
      </c>
      <c r="G202" s="1535"/>
      <c r="I202" s="1536">
        <f t="shared" si="106"/>
        <v>0</v>
      </c>
      <c r="J202" s="1536"/>
      <c r="K202" s="1536">
        <f t="shared" si="107"/>
        <v>0</v>
      </c>
      <c r="L202" s="1536"/>
      <c r="M202" s="1537">
        <f t="shared" si="108"/>
        <v>0</v>
      </c>
      <c r="N202" s="1524"/>
      <c r="O202" s="755" t="s">
        <v>1382</v>
      </c>
      <c r="P202" s="1524">
        <f t="shared" si="109"/>
        <v>0</v>
      </c>
      <c r="Q202" s="1525"/>
      <c r="S202" s="1538">
        <f t="shared" si="110"/>
        <v>0</v>
      </c>
      <c r="T202" s="1539"/>
      <c r="U202" s="755" t="s">
        <v>1382</v>
      </c>
      <c r="V202" s="1524">
        <f t="shared" si="111"/>
        <v>0</v>
      </c>
      <c r="W202" s="1525"/>
      <c r="Y202" s="744" t="s">
        <v>1407</v>
      </c>
      <c r="Z202" s="1526"/>
      <c r="AA202" s="1526"/>
      <c r="AB202" s="1526"/>
      <c r="AC202" s="769" t="s">
        <v>1408</v>
      </c>
      <c r="AD202" s="1527" t="s">
        <v>1409</v>
      </c>
      <c r="AE202" s="1528"/>
      <c r="AF202" s="1529" t="s">
        <v>1394</v>
      </c>
      <c r="AG202" s="1530"/>
      <c r="AH202" s="770" t="s">
        <v>1365</v>
      </c>
      <c r="AI202" s="1530" t="s">
        <v>1410</v>
      </c>
      <c r="AJ202" s="1531"/>
      <c r="AK202" s="1532">
        <v>4</v>
      </c>
      <c r="AL202" s="1533"/>
      <c r="AM202" s="771" t="s">
        <v>1367</v>
      </c>
      <c r="AN202" s="772" t="str">
        <f t="shared" si="112"/>
        <v>⑤：午前Ａ（4ｈ）、</v>
      </c>
      <c r="AO202" s="683" t="str">
        <f t="shared" si="113"/>
        <v>⑤</v>
      </c>
      <c r="AP202" s="773">
        <v>0.57999999999999996</v>
      </c>
      <c r="AQ202" s="773"/>
      <c r="AR202" s="774">
        <f t="shared" si="114"/>
        <v>0.57999999999999996</v>
      </c>
      <c r="AU202" s="752"/>
      <c r="AV202" s="753"/>
    </row>
    <row r="203" spans="1:48" ht="15.9" customHeight="1">
      <c r="A203" s="582"/>
      <c r="E203" s="754" t="s">
        <v>1411</v>
      </c>
      <c r="F203" s="1534">
        <f t="shared" si="105"/>
        <v>0</v>
      </c>
      <c r="G203" s="1535"/>
      <c r="I203" s="1536">
        <f t="shared" si="106"/>
        <v>0</v>
      </c>
      <c r="J203" s="1536"/>
      <c r="K203" s="1536">
        <f t="shared" si="107"/>
        <v>0</v>
      </c>
      <c r="L203" s="1536"/>
      <c r="M203" s="1537">
        <f t="shared" si="108"/>
        <v>0</v>
      </c>
      <c r="N203" s="1524"/>
      <c r="O203" s="755" t="s">
        <v>1382</v>
      </c>
      <c r="P203" s="1524">
        <f t="shared" si="109"/>
        <v>0</v>
      </c>
      <c r="Q203" s="1525"/>
      <c r="S203" s="1538">
        <f t="shared" si="110"/>
        <v>0</v>
      </c>
      <c r="T203" s="1539"/>
      <c r="U203" s="755" t="s">
        <v>1382</v>
      </c>
      <c r="V203" s="1524">
        <f t="shared" si="111"/>
        <v>0</v>
      </c>
      <c r="W203" s="1525"/>
      <c r="Y203" s="744" t="s">
        <v>1412</v>
      </c>
      <c r="Z203" s="1526"/>
      <c r="AA203" s="1526"/>
      <c r="AB203" s="1526"/>
      <c r="AC203" s="769" t="s">
        <v>1413</v>
      </c>
      <c r="AD203" s="1527" t="s">
        <v>1414</v>
      </c>
      <c r="AE203" s="1528"/>
      <c r="AF203" s="1529" t="s">
        <v>1415</v>
      </c>
      <c r="AG203" s="1530"/>
      <c r="AH203" s="770" t="s">
        <v>1365</v>
      </c>
      <c r="AI203" s="1530" t="s">
        <v>1416</v>
      </c>
      <c r="AJ203" s="1531"/>
      <c r="AK203" s="1532">
        <v>4</v>
      </c>
      <c r="AL203" s="1533"/>
      <c r="AM203" s="771" t="s">
        <v>1367</v>
      </c>
      <c r="AN203" s="772" t="str">
        <f t="shared" si="112"/>
        <v>⑥：午後Ａ（4ｈ）、</v>
      </c>
      <c r="AO203" s="683" t="str">
        <f t="shared" si="113"/>
        <v>⑥</v>
      </c>
      <c r="AP203" s="773"/>
      <c r="AQ203" s="773">
        <v>1</v>
      </c>
      <c r="AR203" s="774">
        <f t="shared" si="114"/>
        <v>1</v>
      </c>
      <c r="AU203" s="752"/>
      <c r="AV203" s="753"/>
    </row>
    <row r="204" spans="1:48" ht="15.9" customHeight="1">
      <c r="A204" s="582"/>
      <c r="E204" s="754" t="s">
        <v>1417</v>
      </c>
      <c r="F204" s="1534">
        <f t="shared" si="105"/>
        <v>0</v>
      </c>
      <c r="G204" s="1535"/>
      <c r="I204" s="1536">
        <f t="shared" si="106"/>
        <v>0</v>
      </c>
      <c r="J204" s="1536"/>
      <c r="K204" s="1536">
        <f t="shared" si="107"/>
        <v>0</v>
      </c>
      <c r="L204" s="1536"/>
      <c r="M204" s="1537">
        <f t="shared" si="108"/>
        <v>0</v>
      </c>
      <c r="N204" s="1524"/>
      <c r="O204" s="755" t="s">
        <v>1382</v>
      </c>
      <c r="P204" s="1524">
        <f t="shared" si="109"/>
        <v>0</v>
      </c>
      <c r="Q204" s="1525"/>
      <c r="S204" s="1538">
        <f t="shared" si="110"/>
        <v>0</v>
      </c>
      <c r="T204" s="1539"/>
      <c r="U204" s="755" t="s">
        <v>1382</v>
      </c>
      <c r="V204" s="1524">
        <f t="shared" si="111"/>
        <v>0</v>
      </c>
      <c r="W204" s="1525"/>
      <c r="Y204" s="744" t="s">
        <v>1418</v>
      </c>
      <c r="Z204" s="1526"/>
      <c r="AA204" s="1526"/>
      <c r="AB204" s="1526"/>
      <c r="AC204" s="769" t="s">
        <v>1419</v>
      </c>
      <c r="AD204" s="1527" t="s">
        <v>1420</v>
      </c>
      <c r="AE204" s="1528"/>
      <c r="AF204" s="1529" t="s">
        <v>1421</v>
      </c>
      <c r="AG204" s="1530"/>
      <c r="AH204" s="770" t="s">
        <v>1365</v>
      </c>
      <c r="AI204" s="1530" t="s">
        <v>1422</v>
      </c>
      <c r="AJ204" s="1531"/>
      <c r="AK204" s="1532">
        <v>7</v>
      </c>
      <c r="AL204" s="1533"/>
      <c r="AM204" s="771" t="s">
        <v>1367</v>
      </c>
      <c r="AN204" s="772" t="str">
        <f t="shared" si="112"/>
        <v>⑦：日勤Ｂ（7ｈ）、</v>
      </c>
      <c r="AO204" s="683" t="str">
        <f t="shared" si="113"/>
        <v>⑦</v>
      </c>
      <c r="AP204" s="773">
        <v>0.25</v>
      </c>
      <c r="AQ204" s="773">
        <v>0.5</v>
      </c>
      <c r="AR204" s="774">
        <f t="shared" si="114"/>
        <v>0.75</v>
      </c>
      <c r="AU204" s="752"/>
      <c r="AV204" s="753"/>
    </row>
    <row r="205" spans="1:48" ht="15.9" customHeight="1">
      <c r="A205" s="582"/>
      <c r="E205" s="754" t="s">
        <v>1423</v>
      </c>
      <c r="F205" s="1534">
        <f t="shared" si="105"/>
        <v>0</v>
      </c>
      <c r="G205" s="1535"/>
      <c r="I205" s="1536">
        <f t="shared" si="106"/>
        <v>0</v>
      </c>
      <c r="J205" s="1536"/>
      <c r="K205" s="1536">
        <f t="shared" si="107"/>
        <v>0</v>
      </c>
      <c r="L205" s="1536"/>
      <c r="M205" s="1537">
        <f t="shared" si="108"/>
        <v>0</v>
      </c>
      <c r="N205" s="1524"/>
      <c r="O205" s="755" t="s">
        <v>1382</v>
      </c>
      <c r="P205" s="1524">
        <f t="shared" si="109"/>
        <v>0</v>
      </c>
      <c r="Q205" s="1525"/>
      <c r="S205" s="1538">
        <f t="shared" si="110"/>
        <v>0</v>
      </c>
      <c r="T205" s="1539"/>
      <c r="U205" s="755" t="s">
        <v>1382</v>
      </c>
      <c r="V205" s="1524">
        <f t="shared" si="111"/>
        <v>0</v>
      </c>
      <c r="W205" s="1525"/>
      <c r="Y205" s="744" t="s">
        <v>1424</v>
      </c>
      <c r="Z205" s="1526"/>
      <c r="AA205" s="1526"/>
      <c r="AB205" s="1526"/>
      <c r="AC205" s="769" t="s">
        <v>1425</v>
      </c>
      <c r="AD205" s="1527" t="s">
        <v>1426</v>
      </c>
      <c r="AE205" s="1528"/>
      <c r="AF205" s="1529" t="s">
        <v>1421</v>
      </c>
      <c r="AG205" s="1530"/>
      <c r="AH205" s="770" t="s">
        <v>1365</v>
      </c>
      <c r="AI205" s="1530" t="s">
        <v>1427</v>
      </c>
      <c r="AJ205" s="1531"/>
      <c r="AK205" s="1532">
        <v>4</v>
      </c>
      <c r="AL205" s="1533"/>
      <c r="AM205" s="771" t="s">
        <v>1367</v>
      </c>
      <c r="AN205" s="772" t="str">
        <f t="shared" si="112"/>
        <v>⑧：午前Ｂ（4ｈ）、</v>
      </c>
      <c r="AO205" s="683" t="str">
        <f t="shared" si="113"/>
        <v>⑧</v>
      </c>
      <c r="AP205" s="773">
        <v>0.25</v>
      </c>
      <c r="AQ205" s="773"/>
      <c r="AR205" s="774">
        <f t="shared" si="114"/>
        <v>0.25</v>
      </c>
      <c r="AU205" s="752"/>
      <c r="AV205" s="753"/>
    </row>
    <row r="206" spans="1:48" ht="15.9" customHeight="1">
      <c r="A206" s="582"/>
      <c r="E206" s="754" t="s">
        <v>1428</v>
      </c>
      <c r="F206" s="1534">
        <f t="shared" si="105"/>
        <v>0</v>
      </c>
      <c r="G206" s="1535"/>
      <c r="I206" s="1536">
        <f t="shared" si="106"/>
        <v>0</v>
      </c>
      <c r="J206" s="1536"/>
      <c r="K206" s="1536">
        <f t="shared" si="107"/>
        <v>0</v>
      </c>
      <c r="L206" s="1536"/>
      <c r="M206" s="1537">
        <f t="shared" si="108"/>
        <v>0</v>
      </c>
      <c r="N206" s="1524"/>
      <c r="O206" s="755" t="s">
        <v>1382</v>
      </c>
      <c r="P206" s="1524">
        <f t="shared" si="109"/>
        <v>0</v>
      </c>
      <c r="Q206" s="1525"/>
      <c r="S206" s="1538">
        <f t="shared" si="110"/>
        <v>0</v>
      </c>
      <c r="T206" s="1539"/>
      <c r="U206" s="755" t="s">
        <v>1382</v>
      </c>
      <c r="V206" s="1524">
        <f t="shared" si="111"/>
        <v>0</v>
      </c>
      <c r="W206" s="1525"/>
      <c r="Y206" s="744" t="s">
        <v>1429</v>
      </c>
      <c r="Z206" s="1526"/>
      <c r="AA206" s="1526"/>
      <c r="AB206" s="1526"/>
      <c r="AC206" s="769" t="s">
        <v>1430</v>
      </c>
      <c r="AD206" s="1527" t="s">
        <v>1431</v>
      </c>
      <c r="AE206" s="1528"/>
      <c r="AF206" s="1529" t="s">
        <v>1427</v>
      </c>
      <c r="AG206" s="1530"/>
      <c r="AH206" s="770" t="s">
        <v>1365</v>
      </c>
      <c r="AI206" s="1530" t="s">
        <v>1422</v>
      </c>
      <c r="AJ206" s="1531"/>
      <c r="AK206" s="1532">
        <v>4</v>
      </c>
      <c r="AL206" s="1533"/>
      <c r="AM206" s="771" t="s">
        <v>1367</v>
      </c>
      <c r="AN206" s="772" t="str">
        <f t="shared" si="112"/>
        <v>⑨：午後Ｂ（4ｈ）、</v>
      </c>
      <c r="AO206" s="683" t="str">
        <f t="shared" si="113"/>
        <v>⑨</v>
      </c>
      <c r="AP206" s="773"/>
      <c r="AQ206" s="773">
        <v>0.5</v>
      </c>
      <c r="AR206" s="774">
        <f t="shared" si="114"/>
        <v>0.5</v>
      </c>
      <c r="AU206" s="752"/>
      <c r="AV206" s="753"/>
    </row>
    <row r="207" spans="1:48" ht="15.9" customHeight="1">
      <c r="A207" s="582"/>
      <c r="E207" s="754" t="s">
        <v>1432</v>
      </c>
      <c r="F207" s="1534">
        <f t="shared" si="105"/>
        <v>0</v>
      </c>
      <c r="G207" s="1535"/>
      <c r="I207" s="1536">
        <f t="shared" si="106"/>
        <v>0</v>
      </c>
      <c r="J207" s="1536"/>
      <c r="K207" s="1536">
        <f t="shared" si="107"/>
        <v>0</v>
      </c>
      <c r="L207" s="1536"/>
      <c r="M207" s="1537">
        <f t="shared" si="108"/>
        <v>0</v>
      </c>
      <c r="N207" s="1524"/>
      <c r="O207" s="755" t="s">
        <v>1382</v>
      </c>
      <c r="P207" s="1524">
        <f t="shared" si="109"/>
        <v>0</v>
      </c>
      <c r="Q207" s="1525"/>
      <c r="S207" s="1538">
        <f t="shared" si="110"/>
        <v>0</v>
      </c>
      <c r="T207" s="1539"/>
      <c r="U207" s="755" t="s">
        <v>1382</v>
      </c>
      <c r="V207" s="1524">
        <f t="shared" si="111"/>
        <v>0</v>
      </c>
      <c r="W207" s="1525"/>
      <c r="Y207" s="744" t="s">
        <v>1433</v>
      </c>
      <c r="Z207" s="1526"/>
      <c r="AA207" s="1526"/>
      <c r="AB207" s="1526"/>
      <c r="AC207" s="769" t="s">
        <v>1434</v>
      </c>
      <c r="AD207" s="1527" t="s">
        <v>1435</v>
      </c>
      <c r="AE207" s="1528"/>
      <c r="AF207" s="1529" t="s">
        <v>1404</v>
      </c>
      <c r="AG207" s="1530"/>
      <c r="AH207" s="770" t="s">
        <v>1365</v>
      </c>
      <c r="AI207" s="1530" t="s">
        <v>1436</v>
      </c>
      <c r="AJ207" s="1531"/>
      <c r="AK207" s="1532">
        <v>4</v>
      </c>
      <c r="AL207" s="1533"/>
      <c r="AM207" s="771" t="s">
        <v>1367</v>
      </c>
      <c r="AN207" s="772" t="str">
        <f t="shared" si="112"/>
        <v>⑩：午後Ｃ（4ｈ）、</v>
      </c>
      <c r="AO207" s="683" t="str">
        <f t="shared" si="113"/>
        <v>⑩</v>
      </c>
      <c r="AP207" s="773"/>
      <c r="AQ207" s="773"/>
      <c r="AR207" s="774">
        <f t="shared" si="114"/>
        <v>0</v>
      </c>
      <c r="AU207" s="752"/>
      <c r="AV207" s="753"/>
    </row>
    <row r="208" spans="1:48" ht="15.9" customHeight="1">
      <c r="A208" s="582"/>
      <c r="E208" s="754" t="s">
        <v>1437</v>
      </c>
      <c r="F208" s="1534">
        <f t="shared" si="105"/>
        <v>0</v>
      </c>
      <c r="G208" s="1535"/>
      <c r="I208" s="1536">
        <f t="shared" si="106"/>
        <v>0</v>
      </c>
      <c r="J208" s="1536"/>
      <c r="K208" s="1536">
        <f t="shared" si="107"/>
        <v>0</v>
      </c>
      <c r="L208" s="1536"/>
      <c r="M208" s="1537">
        <f t="shared" si="108"/>
        <v>0</v>
      </c>
      <c r="N208" s="1524"/>
      <c r="O208" s="755" t="s">
        <v>1382</v>
      </c>
      <c r="P208" s="1524">
        <f t="shared" si="109"/>
        <v>0</v>
      </c>
      <c r="Q208" s="1525"/>
      <c r="S208" s="1538">
        <f t="shared" si="110"/>
        <v>0</v>
      </c>
      <c r="T208" s="1539"/>
      <c r="U208" s="755" t="s">
        <v>1382</v>
      </c>
      <c r="V208" s="1524">
        <f t="shared" si="111"/>
        <v>0</v>
      </c>
      <c r="W208" s="1525"/>
      <c r="Y208" s="744" t="s">
        <v>1438</v>
      </c>
      <c r="Z208" s="1526"/>
      <c r="AA208" s="1526"/>
      <c r="AB208" s="1526"/>
      <c r="AC208" s="769" t="s">
        <v>1439</v>
      </c>
      <c r="AD208" s="1527" t="s">
        <v>1440</v>
      </c>
      <c r="AE208" s="1528"/>
      <c r="AF208" s="1529" t="s">
        <v>1441</v>
      </c>
      <c r="AG208" s="1530"/>
      <c r="AH208" s="770" t="s">
        <v>1365</v>
      </c>
      <c r="AI208" s="1530" t="s">
        <v>1405</v>
      </c>
      <c r="AJ208" s="1531"/>
      <c r="AK208" s="1532">
        <v>4</v>
      </c>
      <c r="AL208" s="1533"/>
      <c r="AM208" s="771" t="s">
        <v>1367</v>
      </c>
      <c r="AN208" s="772" t="str">
        <f t="shared" si="112"/>
        <v>⑪：午後Ｄ（4ｈ）、</v>
      </c>
      <c r="AO208" s="683" t="str">
        <f t="shared" si="113"/>
        <v>⑪</v>
      </c>
      <c r="AP208" s="773"/>
      <c r="AQ208" s="773">
        <v>3.5</v>
      </c>
      <c r="AR208" s="774">
        <f t="shared" si="114"/>
        <v>3.5</v>
      </c>
      <c r="AU208" s="752"/>
      <c r="AV208" s="753"/>
    </row>
    <row r="209" spans="1:48" ht="15.9" customHeight="1">
      <c r="A209" s="582"/>
      <c r="E209" s="754" t="s">
        <v>1442</v>
      </c>
      <c r="F209" s="1534">
        <f t="shared" si="105"/>
        <v>0</v>
      </c>
      <c r="G209" s="1535"/>
      <c r="I209" s="1536">
        <f t="shared" si="106"/>
        <v>0</v>
      </c>
      <c r="J209" s="1536"/>
      <c r="K209" s="1536">
        <f t="shared" si="107"/>
        <v>0</v>
      </c>
      <c r="L209" s="1536"/>
      <c r="M209" s="1537">
        <f t="shared" si="108"/>
        <v>0</v>
      </c>
      <c r="N209" s="1524"/>
      <c r="O209" s="755" t="s">
        <v>1382</v>
      </c>
      <c r="P209" s="1524">
        <f t="shared" si="109"/>
        <v>0</v>
      </c>
      <c r="Q209" s="1525"/>
      <c r="S209" s="1538">
        <f t="shared" si="110"/>
        <v>0</v>
      </c>
      <c r="T209" s="1539"/>
      <c r="U209" s="755" t="s">
        <v>1382</v>
      </c>
      <c r="V209" s="1524">
        <f t="shared" si="111"/>
        <v>0</v>
      </c>
      <c r="W209" s="1525"/>
      <c r="Y209" s="744" t="s">
        <v>1443</v>
      </c>
      <c r="Z209" s="1526"/>
      <c r="AA209" s="1526"/>
      <c r="AB209" s="1526"/>
      <c r="AC209" s="769" t="s">
        <v>1444</v>
      </c>
      <c r="AD209" s="1527" t="s">
        <v>1445</v>
      </c>
      <c r="AE209" s="1528"/>
      <c r="AF209" s="1529" t="s">
        <v>1394</v>
      </c>
      <c r="AG209" s="1530"/>
      <c r="AH209" s="770" t="s">
        <v>1365</v>
      </c>
      <c r="AI209" s="1530" t="s">
        <v>1422</v>
      </c>
      <c r="AJ209" s="1531"/>
      <c r="AK209" s="1532">
        <v>7.5</v>
      </c>
      <c r="AL209" s="1533"/>
      <c r="AM209" s="771" t="s">
        <v>1367</v>
      </c>
      <c r="AN209" s="772" t="str">
        <f t="shared" si="112"/>
        <v>⑱：日勤Ｃ（7.5ｈ）、</v>
      </c>
      <c r="AO209" s="683" t="str">
        <f t="shared" si="113"/>
        <v>⑱</v>
      </c>
      <c r="AP209" s="773">
        <v>0.57999999999999996</v>
      </c>
      <c r="AQ209" s="773">
        <v>0.5</v>
      </c>
      <c r="AR209" s="774">
        <f t="shared" si="114"/>
        <v>1.08</v>
      </c>
      <c r="AU209" s="752"/>
      <c r="AV209" s="753"/>
    </row>
    <row r="210" spans="1:48" ht="15.9" customHeight="1">
      <c r="A210" s="582"/>
      <c r="E210" s="754" t="s">
        <v>1446</v>
      </c>
      <c r="F210" s="1534">
        <f t="shared" si="105"/>
        <v>0</v>
      </c>
      <c r="G210" s="1535"/>
      <c r="I210" s="1536">
        <f t="shared" si="106"/>
        <v>0</v>
      </c>
      <c r="J210" s="1536"/>
      <c r="K210" s="1536">
        <f t="shared" si="107"/>
        <v>0</v>
      </c>
      <c r="L210" s="1536"/>
      <c r="M210" s="1537">
        <f t="shared" si="108"/>
        <v>0</v>
      </c>
      <c r="N210" s="1524"/>
      <c r="O210" s="755" t="s">
        <v>1382</v>
      </c>
      <c r="P210" s="1524">
        <f t="shared" si="109"/>
        <v>0</v>
      </c>
      <c r="Q210" s="1525"/>
      <c r="S210" s="1538">
        <f t="shared" si="110"/>
        <v>0</v>
      </c>
      <c r="T210" s="1539"/>
      <c r="U210" s="755" t="s">
        <v>1382</v>
      </c>
      <c r="V210" s="1524">
        <f t="shared" si="111"/>
        <v>0</v>
      </c>
      <c r="W210" s="1525"/>
      <c r="Y210" s="744" t="s">
        <v>1447</v>
      </c>
      <c r="Z210" s="1526"/>
      <c r="AA210" s="1526"/>
      <c r="AB210" s="1526"/>
      <c r="AC210" s="769" t="s">
        <v>1448</v>
      </c>
      <c r="AD210" s="1527" t="s">
        <v>1449</v>
      </c>
      <c r="AE210" s="1528"/>
      <c r="AF210" s="1529" t="s">
        <v>1421</v>
      </c>
      <c r="AG210" s="1530"/>
      <c r="AH210" s="770" t="s">
        <v>1365</v>
      </c>
      <c r="AI210" s="1530" t="s">
        <v>1427</v>
      </c>
      <c r="AJ210" s="1531"/>
      <c r="AK210" s="1532">
        <v>4</v>
      </c>
      <c r="AL210" s="1533"/>
      <c r="AM210" s="771" t="s">
        <v>1367</v>
      </c>
      <c r="AN210" s="772" t="str">
        <f t="shared" si="112"/>
        <v>⑲：午前Ｃ（4ｈ）、</v>
      </c>
      <c r="AO210" s="683" t="str">
        <f t="shared" si="113"/>
        <v>⑲</v>
      </c>
      <c r="AP210" s="773">
        <v>0.25</v>
      </c>
      <c r="AQ210" s="773"/>
      <c r="AR210" s="774">
        <f t="shared" si="114"/>
        <v>0.25</v>
      </c>
      <c r="AU210" s="752"/>
      <c r="AV210" s="753"/>
    </row>
    <row r="211" spans="1:48" ht="15.9" customHeight="1">
      <c r="A211" s="582"/>
      <c r="E211" s="754" t="s">
        <v>1450</v>
      </c>
      <c r="F211" s="1534">
        <f t="shared" si="105"/>
        <v>0</v>
      </c>
      <c r="G211" s="1535"/>
      <c r="I211" s="1536">
        <f t="shared" si="106"/>
        <v>0</v>
      </c>
      <c r="J211" s="1536"/>
      <c r="K211" s="1536">
        <f t="shared" si="107"/>
        <v>0</v>
      </c>
      <c r="L211" s="1536"/>
      <c r="M211" s="1537">
        <f t="shared" si="108"/>
        <v>0</v>
      </c>
      <c r="N211" s="1524"/>
      <c r="O211" s="755" t="s">
        <v>1382</v>
      </c>
      <c r="P211" s="1524">
        <f t="shared" si="109"/>
        <v>0</v>
      </c>
      <c r="Q211" s="1525"/>
      <c r="S211" s="1538">
        <f t="shared" si="110"/>
        <v>0</v>
      </c>
      <c r="T211" s="1539"/>
      <c r="U211" s="755" t="s">
        <v>1382</v>
      </c>
      <c r="V211" s="1524">
        <f t="shared" si="111"/>
        <v>0</v>
      </c>
      <c r="W211" s="1525"/>
      <c r="Y211" s="744" t="s">
        <v>1451</v>
      </c>
      <c r="Z211" s="1526"/>
      <c r="AA211" s="1526"/>
      <c r="AB211" s="1526"/>
      <c r="AC211" s="769" t="s">
        <v>1452</v>
      </c>
      <c r="AD211" s="1527" t="s">
        <v>1453</v>
      </c>
      <c r="AE211" s="1528"/>
      <c r="AF211" s="1529" t="s">
        <v>1399</v>
      </c>
      <c r="AG211" s="1530"/>
      <c r="AH211" s="770" t="s">
        <v>1365</v>
      </c>
      <c r="AI211" s="1530" t="s">
        <v>1454</v>
      </c>
      <c r="AJ211" s="1531"/>
      <c r="AK211" s="1532">
        <v>4</v>
      </c>
      <c r="AL211" s="1533"/>
      <c r="AM211" s="771" t="s">
        <v>1367</v>
      </c>
      <c r="AN211" s="772" t="str">
        <f t="shared" si="112"/>
        <v>⑳：午前Ｄ（4ｈ）、</v>
      </c>
      <c r="AO211" s="683" t="str">
        <f t="shared" si="113"/>
        <v>⑳</v>
      </c>
      <c r="AP211" s="773">
        <v>2.08</v>
      </c>
      <c r="AQ211" s="773"/>
      <c r="AR211" s="774">
        <f t="shared" si="114"/>
        <v>2.08</v>
      </c>
      <c r="AU211" s="752"/>
      <c r="AV211" s="753"/>
    </row>
    <row r="212" spans="1:48" ht="15.9" customHeight="1">
      <c r="A212" s="582"/>
      <c r="E212" s="754" t="s">
        <v>1455</v>
      </c>
      <c r="F212" s="1534">
        <f t="shared" si="105"/>
        <v>0</v>
      </c>
      <c r="G212" s="1535"/>
      <c r="I212" s="1536">
        <f t="shared" si="106"/>
        <v>0</v>
      </c>
      <c r="J212" s="1536"/>
      <c r="K212" s="1536">
        <f t="shared" si="107"/>
        <v>0</v>
      </c>
      <c r="L212" s="1536"/>
      <c r="M212" s="1537">
        <f t="shared" si="108"/>
        <v>0</v>
      </c>
      <c r="N212" s="1524"/>
      <c r="O212" s="755" t="s">
        <v>1382</v>
      </c>
      <c r="P212" s="1524">
        <f t="shared" si="109"/>
        <v>0</v>
      </c>
      <c r="Q212" s="1525"/>
      <c r="S212" s="1538">
        <f t="shared" si="110"/>
        <v>0</v>
      </c>
      <c r="T212" s="1539"/>
      <c r="U212" s="755" t="s">
        <v>1382</v>
      </c>
      <c r="V212" s="1524">
        <f t="shared" si="111"/>
        <v>0</v>
      </c>
      <c r="W212" s="1525"/>
      <c r="Y212" s="744" t="s">
        <v>1456</v>
      </c>
      <c r="Z212" s="1526"/>
      <c r="AA212" s="1526"/>
      <c r="AB212" s="1526"/>
      <c r="AC212" s="769" t="s">
        <v>1457</v>
      </c>
      <c r="AD212" s="1527" t="s">
        <v>1458</v>
      </c>
      <c r="AE212" s="1528"/>
      <c r="AF212" s="1529"/>
      <c r="AG212" s="1530"/>
      <c r="AH212" s="770" t="s">
        <v>1365</v>
      </c>
      <c r="AI212" s="1530"/>
      <c r="AJ212" s="1531"/>
      <c r="AK212" s="1532"/>
      <c r="AL212" s="1533"/>
      <c r="AM212" s="771" t="s">
        <v>1367</v>
      </c>
      <c r="AN212" s="772" t="str">
        <f t="shared" si="112"/>
        <v>公：公休（ｈ）、</v>
      </c>
      <c r="AO212" s="683" t="str">
        <f t="shared" si="113"/>
        <v>公</v>
      </c>
      <c r="AP212" s="773"/>
      <c r="AQ212" s="773"/>
      <c r="AR212" s="774">
        <f t="shared" si="114"/>
        <v>0</v>
      </c>
      <c r="AU212" s="752"/>
      <c r="AV212" s="753"/>
    </row>
    <row r="213" spans="1:48" ht="15.9" customHeight="1">
      <c r="A213" s="582"/>
      <c r="E213" s="754" t="s">
        <v>1459</v>
      </c>
      <c r="F213" s="1534">
        <f t="shared" si="105"/>
        <v>0</v>
      </c>
      <c r="G213" s="1535"/>
      <c r="I213" s="1536">
        <f t="shared" si="106"/>
        <v>0</v>
      </c>
      <c r="J213" s="1536"/>
      <c r="K213" s="1536">
        <f t="shared" si="107"/>
        <v>0</v>
      </c>
      <c r="L213" s="1536"/>
      <c r="M213" s="1537">
        <f t="shared" si="108"/>
        <v>0</v>
      </c>
      <c r="N213" s="1524"/>
      <c r="O213" s="755" t="s">
        <v>1382</v>
      </c>
      <c r="P213" s="1524">
        <f t="shared" si="109"/>
        <v>0</v>
      </c>
      <c r="Q213" s="1525"/>
      <c r="S213" s="1538">
        <f t="shared" si="110"/>
        <v>0</v>
      </c>
      <c r="T213" s="1539"/>
      <c r="U213" s="755" t="s">
        <v>1382</v>
      </c>
      <c r="V213" s="1524">
        <f t="shared" si="111"/>
        <v>0</v>
      </c>
      <c r="W213" s="1525"/>
      <c r="Y213" s="744" t="s">
        <v>1460</v>
      </c>
      <c r="Z213" s="1526"/>
      <c r="AA213" s="1526"/>
      <c r="AB213" s="1526"/>
      <c r="AC213" s="769" t="s">
        <v>1461</v>
      </c>
      <c r="AD213" s="1527" t="s">
        <v>1462</v>
      </c>
      <c r="AE213" s="1528"/>
      <c r="AF213" s="1529"/>
      <c r="AG213" s="1530"/>
      <c r="AH213" s="770" t="s">
        <v>1365</v>
      </c>
      <c r="AI213" s="1530"/>
      <c r="AJ213" s="1531"/>
      <c r="AK213" s="1532"/>
      <c r="AL213" s="1533"/>
      <c r="AM213" s="771" t="s">
        <v>1367</v>
      </c>
      <c r="AN213" s="772" t="str">
        <f t="shared" si="112"/>
        <v>有：有休（ｈ）、</v>
      </c>
      <c r="AO213" s="683" t="str">
        <f t="shared" si="113"/>
        <v>有</v>
      </c>
      <c r="AP213" s="773"/>
      <c r="AQ213" s="773"/>
      <c r="AR213" s="774">
        <f t="shared" si="114"/>
        <v>0</v>
      </c>
      <c r="AU213" s="752"/>
      <c r="AV213" s="753"/>
    </row>
    <row r="214" spans="1:48" ht="15.9" customHeight="1">
      <c r="A214" s="582"/>
      <c r="E214" s="754" t="s">
        <v>1463</v>
      </c>
      <c r="F214" s="1534">
        <f t="shared" si="105"/>
        <v>0</v>
      </c>
      <c r="G214" s="1535"/>
      <c r="I214" s="1536">
        <f t="shared" si="106"/>
        <v>0</v>
      </c>
      <c r="J214" s="1536"/>
      <c r="K214" s="1536">
        <f t="shared" si="107"/>
        <v>0</v>
      </c>
      <c r="L214" s="1536"/>
      <c r="M214" s="1537">
        <f t="shared" si="108"/>
        <v>0</v>
      </c>
      <c r="N214" s="1524"/>
      <c r="O214" s="755" t="s">
        <v>1382</v>
      </c>
      <c r="P214" s="1524">
        <f t="shared" si="109"/>
        <v>0</v>
      </c>
      <c r="Q214" s="1525"/>
      <c r="S214" s="1538">
        <f t="shared" si="110"/>
        <v>0</v>
      </c>
      <c r="T214" s="1539"/>
      <c r="U214" s="755" t="s">
        <v>1382</v>
      </c>
      <c r="V214" s="1524">
        <f t="shared" si="111"/>
        <v>0</v>
      </c>
      <c r="W214" s="1525"/>
      <c r="Y214" s="744" t="s">
        <v>1464</v>
      </c>
      <c r="Z214" s="1526"/>
      <c r="AA214" s="1526"/>
      <c r="AB214" s="1526"/>
      <c r="AC214" s="769" t="s">
        <v>1465</v>
      </c>
      <c r="AD214" s="1527" t="s">
        <v>1466</v>
      </c>
      <c r="AE214" s="1528"/>
      <c r="AF214" s="1529"/>
      <c r="AG214" s="1530"/>
      <c r="AH214" s="770" t="s">
        <v>1365</v>
      </c>
      <c r="AI214" s="1530"/>
      <c r="AJ214" s="1531"/>
      <c r="AK214" s="1532"/>
      <c r="AL214" s="1533"/>
      <c r="AM214" s="771" t="s">
        <v>1367</v>
      </c>
      <c r="AN214" s="772" t="str">
        <f t="shared" si="112"/>
        <v>欠：欠勤（ｈ）、</v>
      </c>
      <c r="AO214" s="683" t="str">
        <f t="shared" si="113"/>
        <v>欠</v>
      </c>
      <c r="AP214" s="773"/>
      <c r="AQ214" s="773"/>
      <c r="AR214" s="774">
        <f t="shared" si="114"/>
        <v>0</v>
      </c>
      <c r="AU214" s="752"/>
      <c r="AV214" s="753"/>
    </row>
    <row r="215" spans="1:48" ht="15.9" customHeight="1">
      <c r="A215" s="582"/>
      <c r="E215" s="754"/>
      <c r="F215" s="1534" t="str">
        <f t="shared" si="105"/>
        <v/>
      </c>
      <c r="G215" s="1535"/>
      <c r="I215" s="1536">
        <f t="shared" si="106"/>
        <v>0</v>
      </c>
      <c r="J215" s="1536"/>
      <c r="K215" s="1536">
        <f t="shared" si="107"/>
        <v>0</v>
      </c>
      <c r="L215" s="1536"/>
      <c r="M215" s="1537">
        <f t="shared" si="108"/>
        <v>0</v>
      </c>
      <c r="N215" s="1524"/>
      <c r="O215" s="755" t="s">
        <v>1382</v>
      </c>
      <c r="P215" s="1524">
        <f t="shared" si="109"/>
        <v>0</v>
      </c>
      <c r="Q215" s="1525"/>
      <c r="S215" s="1538">
        <f t="shared" si="110"/>
        <v>0</v>
      </c>
      <c r="T215" s="1539"/>
      <c r="U215" s="755" t="s">
        <v>1382</v>
      </c>
      <c r="V215" s="1524">
        <f t="shared" si="111"/>
        <v>0</v>
      </c>
      <c r="W215" s="1525"/>
      <c r="Y215" s="744" t="s">
        <v>1467</v>
      </c>
      <c r="Z215" s="1526"/>
      <c r="AA215" s="1526"/>
      <c r="AB215" s="1526"/>
      <c r="AC215" s="769" t="s">
        <v>1468</v>
      </c>
      <c r="AD215" s="1527" t="s">
        <v>1469</v>
      </c>
      <c r="AE215" s="1528"/>
      <c r="AF215" s="1529"/>
      <c r="AG215" s="1530"/>
      <c r="AH215" s="770" t="s">
        <v>1365</v>
      </c>
      <c r="AI215" s="1530"/>
      <c r="AJ215" s="1531"/>
      <c r="AK215" s="1532"/>
      <c r="AL215" s="1533"/>
      <c r="AM215" s="771" t="s">
        <v>1367</v>
      </c>
      <c r="AN215" s="772" t="str">
        <f t="shared" si="112"/>
        <v>特：特休（ｈ）、</v>
      </c>
      <c r="AO215" s="683" t="str">
        <f t="shared" si="113"/>
        <v>特</v>
      </c>
      <c r="AP215" s="773"/>
      <c r="AQ215" s="773"/>
      <c r="AR215" s="774">
        <f t="shared" si="114"/>
        <v>0</v>
      </c>
      <c r="AU215" s="752"/>
      <c r="AV215" s="753"/>
    </row>
    <row r="216" spans="1:48" ht="15.9" customHeight="1">
      <c r="A216" s="582"/>
      <c r="E216" s="754"/>
      <c r="F216" s="1534" t="str">
        <f t="shared" si="105"/>
        <v/>
      </c>
      <c r="G216" s="1535"/>
      <c r="I216" s="1536">
        <f t="shared" si="106"/>
        <v>0</v>
      </c>
      <c r="J216" s="1536"/>
      <c r="K216" s="1536">
        <f t="shared" si="107"/>
        <v>0</v>
      </c>
      <c r="L216" s="1536"/>
      <c r="M216" s="1537">
        <f t="shared" si="108"/>
        <v>0</v>
      </c>
      <c r="N216" s="1524"/>
      <c r="O216" s="755" t="s">
        <v>1382</v>
      </c>
      <c r="P216" s="1524">
        <f t="shared" si="109"/>
        <v>0</v>
      </c>
      <c r="Q216" s="1525"/>
      <c r="S216" s="1538">
        <f t="shared" si="110"/>
        <v>0</v>
      </c>
      <c r="T216" s="1539"/>
      <c r="U216" s="755" t="s">
        <v>1382</v>
      </c>
      <c r="V216" s="1524">
        <f t="shared" si="111"/>
        <v>0</v>
      </c>
      <c r="W216" s="1525"/>
      <c r="Y216" s="744" t="s">
        <v>1470</v>
      </c>
      <c r="Z216" s="1526"/>
      <c r="AA216" s="1526"/>
      <c r="AB216" s="1526"/>
      <c r="AC216" s="769" t="s">
        <v>1471</v>
      </c>
      <c r="AD216" s="1527"/>
      <c r="AE216" s="1528"/>
      <c r="AF216" s="1529"/>
      <c r="AG216" s="1530"/>
      <c r="AH216" s="770" t="s">
        <v>1365</v>
      </c>
      <c r="AI216" s="1530"/>
      <c r="AJ216" s="1531"/>
      <c r="AK216" s="1532"/>
      <c r="AL216" s="1533"/>
      <c r="AM216" s="771" t="s">
        <v>1367</v>
      </c>
      <c r="AN216" s="772" t="str">
        <f t="shared" si="112"/>
        <v>-：（ｈ）、</v>
      </c>
      <c r="AO216" s="683" t="str">
        <f t="shared" si="113"/>
        <v>-</v>
      </c>
      <c r="AP216" s="773"/>
      <c r="AQ216" s="773"/>
      <c r="AR216" s="774">
        <f t="shared" si="114"/>
        <v>0</v>
      </c>
      <c r="AU216" s="752"/>
      <c r="AV216" s="753"/>
    </row>
    <row r="217" spans="1:48" ht="15.9" customHeight="1">
      <c r="A217" s="582"/>
      <c r="E217" s="754"/>
      <c r="F217" s="1534" t="str">
        <f t="shared" si="105"/>
        <v/>
      </c>
      <c r="G217" s="1535"/>
      <c r="I217" s="1536">
        <f t="shared" si="106"/>
        <v>0</v>
      </c>
      <c r="J217" s="1536"/>
      <c r="K217" s="1536">
        <f t="shared" si="107"/>
        <v>0</v>
      </c>
      <c r="L217" s="1536"/>
      <c r="M217" s="1537">
        <f t="shared" si="108"/>
        <v>0</v>
      </c>
      <c r="N217" s="1524"/>
      <c r="O217" s="755" t="s">
        <v>1382</v>
      </c>
      <c r="P217" s="1524">
        <f t="shared" si="109"/>
        <v>0</v>
      </c>
      <c r="Q217" s="1525"/>
      <c r="S217" s="1538">
        <f t="shared" si="110"/>
        <v>0</v>
      </c>
      <c r="T217" s="1539"/>
      <c r="U217" s="755" t="s">
        <v>1382</v>
      </c>
      <c r="V217" s="1524">
        <f t="shared" si="111"/>
        <v>0</v>
      </c>
      <c r="W217" s="1525"/>
      <c r="Y217" s="744" t="s">
        <v>1472</v>
      </c>
      <c r="Z217" s="1526"/>
      <c r="AA217" s="1526"/>
      <c r="AB217" s="1526"/>
      <c r="AC217" s="769" t="s">
        <v>1471</v>
      </c>
      <c r="AD217" s="1527"/>
      <c r="AE217" s="1528"/>
      <c r="AF217" s="1529"/>
      <c r="AG217" s="1530"/>
      <c r="AH217" s="770" t="s">
        <v>1365</v>
      </c>
      <c r="AI217" s="1530"/>
      <c r="AJ217" s="1531"/>
      <c r="AK217" s="1532"/>
      <c r="AL217" s="1533"/>
      <c r="AM217" s="771" t="s">
        <v>1367</v>
      </c>
      <c r="AN217" s="772" t="str">
        <f t="shared" si="112"/>
        <v>-：（ｈ）、</v>
      </c>
      <c r="AO217" s="683" t="str">
        <f t="shared" si="113"/>
        <v>-</v>
      </c>
      <c r="AP217" s="773"/>
      <c r="AQ217" s="773"/>
      <c r="AR217" s="774">
        <f t="shared" si="114"/>
        <v>0</v>
      </c>
      <c r="AU217" s="752"/>
      <c r="AV217" s="753"/>
    </row>
    <row r="218" spans="1:48" ht="15.9" customHeight="1">
      <c r="A218" s="582"/>
      <c r="E218" s="754"/>
      <c r="F218" s="1534" t="str">
        <f t="shared" si="105"/>
        <v/>
      </c>
      <c r="G218" s="1535"/>
      <c r="I218" s="1536">
        <f t="shared" si="106"/>
        <v>0</v>
      </c>
      <c r="J218" s="1536"/>
      <c r="K218" s="1536">
        <f t="shared" si="107"/>
        <v>0</v>
      </c>
      <c r="L218" s="1536"/>
      <c r="M218" s="1537">
        <f t="shared" si="108"/>
        <v>0</v>
      </c>
      <c r="N218" s="1524"/>
      <c r="O218" s="755" t="s">
        <v>1382</v>
      </c>
      <c r="P218" s="1524">
        <f t="shared" si="109"/>
        <v>0</v>
      </c>
      <c r="Q218" s="1525"/>
      <c r="S218" s="1538">
        <f t="shared" si="110"/>
        <v>0</v>
      </c>
      <c r="T218" s="1539"/>
      <c r="U218" s="755" t="s">
        <v>1382</v>
      </c>
      <c r="V218" s="1524">
        <f t="shared" si="111"/>
        <v>0</v>
      </c>
      <c r="W218" s="1525"/>
      <c r="Y218" s="744" t="s">
        <v>1473</v>
      </c>
      <c r="Z218" s="1526"/>
      <c r="AA218" s="1526"/>
      <c r="AB218" s="1526"/>
      <c r="AC218" s="769" t="s">
        <v>1471</v>
      </c>
      <c r="AD218" s="1527"/>
      <c r="AE218" s="1528"/>
      <c r="AF218" s="1529"/>
      <c r="AG218" s="1530"/>
      <c r="AH218" s="770" t="s">
        <v>1365</v>
      </c>
      <c r="AI218" s="1530"/>
      <c r="AJ218" s="1531"/>
      <c r="AK218" s="1532"/>
      <c r="AL218" s="1533"/>
      <c r="AM218" s="771" t="s">
        <v>1367</v>
      </c>
      <c r="AN218" s="772" t="str">
        <f t="shared" si="112"/>
        <v>-：（ｈ）、</v>
      </c>
      <c r="AO218" s="683" t="str">
        <f t="shared" si="113"/>
        <v>-</v>
      </c>
      <c r="AP218" s="773"/>
      <c r="AQ218" s="773"/>
      <c r="AR218" s="774">
        <f t="shared" si="114"/>
        <v>0</v>
      </c>
      <c r="AU218" s="752"/>
      <c r="AV218" s="753"/>
    </row>
    <row r="219" spans="1:48" ht="15.9" customHeight="1">
      <c r="A219" s="582"/>
      <c r="E219" s="754"/>
      <c r="F219" s="1534" t="str">
        <f t="shared" si="105"/>
        <v/>
      </c>
      <c r="G219" s="1535"/>
      <c r="I219" s="1536">
        <f t="shared" si="106"/>
        <v>0</v>
      </c>
      <c r="J219" s="1536"/>
      <c r="K219" s="1536">
        <f t="shared" si="107"/>
        <v>0</v>
      </c>
      <c r="L219" s="1536"/>
      <c r="M219" s="1537">
        <f t="shared" si="108"/>
        <v>0</v>
      </c>
      <c r="N219" s="1524"/>
      <c r="O219" s="755" t="s">
        <v>1382</v>
      </c>
      <c r="P219" s="1524">
        <f t="shared" si="109"/>
        <v>0</v>
      </c>
      <c r="Q219" s="1525"/>
      <c r="S219" s="1538">
        <f t="shared" si="110"/>
        <v>0</v>
      </c>
      <c r="T219" s="1539"/>
      <c r="U219" s="755" t="s">
        <v>1382</v>
      </c>
      <c r="V219" s="1524">
        <f t="shared" si="111"/>
        <v>0</v>
      </c>
      <c r="W219" s="1525"/>
      <c r="Y219" s="744" t="s">
        <v>1474</v>
      </c>
      <c r="Z219" s="1526"/>
      <c r="AA219" s="1526"/>
      <c r="AB219" s="1526"/>
      <c r="AC219" s="769" t="s">
        <v>1471</v>
      </c>
      <c r="AD219" s="1527"/>
      <c r="AE219" s="1528"/>
      <c r="AF219" s="1529"/>
      <c r="AG219" s="1530"/>
      <c r="AH219" s="770" t="s">
        <v>1365</v>
      </c>
      <c r="AI219" s="1530"/>
      <c r="AJ219" s="1531"/>
      <c r="AK219" s="1532"/>
      <c r="AL219" s="1533"/>
      <c r="AM219" s="771" t="s">
        <v>1367</v>
      </c>
      <c r="AN219" s="772" t="str">
        <f t="shared" si="112"/>
        <v>-：（ｈ）、</v>
      </c>
      <c r="AO219" s="683" t="str">
        <f t="shared" si="113"/>
        <v>-</v>
      </c>
      <c r="AP219" s="773"/>
      <c r="AQ219" s="773"/>
      <c r="AR219" s="774">
        <f t="shared" si="114"/>
        <v>0</v>
      </c>
      <c r="AU219" s="752"/>
      <c r="AV219" s="753"/>
    </row>
    <row r="220" spans="1:48" ht="15.9" customHeight="1">
      <c r="A220" s="582"/>
      <c r="E220" s="776"/>
      <c r="F220" s="1534" t="str">
        <f t="shared" si="105"/>
        <v/>
      </c>
      <c r="G220" s="1535"/>
      <c r="I220" s="1536">
        <f t="shared" si="106"/>
        <v>0</v>
      </c>
      <c r="J220" s="1536"/>
      <c r="K220" s="1536">
        <f t="shared" si="107"/>
        <v>0</v>
      </c>
      <c r="L220" s="1536"/>
      <c r="M220" s="1537">
        <f t="shared" si="108"/>
        <v>0</v>
      </c>
      <c r="N220" s="1524"/>
      <c r="O220" s="755" t="s">
        <v>1382</v>
      </c>
      <c r="P220" s="1524">
        <f t="shared" si="109"/>
        <v>0</v>
      </c>
      <c r="Q220" s="1525"/>
      <c r="S220" s="1538">
        <f t="shared" si="110"/>
        <v>0</v>
      </c>
      <c r="T220" s="1539"/>
      <c r="U220" s="755" t="s">
        <v>1382</v>
      </c>
      <c r="V220" s="1524">
        <f t="shared" si="111"/>
        <v>0</v>
      </c>
      <c r="W220" s="1525"/>
      <c r="Y220" s="744" t="s">
        <v>1475</v>
      </c>
      <c r="Z220" s="1526"/>
      <c r="AA220" s="1526"/>
      <c r="AB220" s="1526"/>
      <c r="AC220" s="769" t="s">
        <v>1471</v>
      </c>
      <c r="AD220" s="1527"/>
      <c r="AE220" s="1528"/>
      <c r="AF220" s="1529"/>
      <c r="AG220" s="1530"/>
      <c r="AH220" s="770" t="s">
        <v>1365</v>
      </c>
      <c r="AI220" s="1530"/>
      <c r="AJ220" s="1531"/>
      <c r="AK220" s="1532"/>
      <c r="AL220" s="1533"/>
      <c r="AM220" s="771" t="s">
        <v>1367</v>
      </c>
      <c r="AN220" s="772" t="str">
        <f t="shared" si="112"/>
        <v>-：（ｈ）、</v>
      </c>
      <c r="AO220" s="683" t="str">
        <f t="shared" si="113"/>
        <v>-</v>
      </c>
      <c r="AP220" s="773"/>
      <c r="AQ220" s="773"/>
      <c r="AR220" s="774">
        <f t="shared" si="114"/>
        <v>0</v>
      </c>
      <c r="AU220" s="752"/>
      <c r="AV220" s="753"/>
    </row>
    <row r="221" spans="1:48" ht="15.9" customHeight="1">
      <c r="A221" s="582"/>
      <c r="E221" s="777"/>
      <c r="F221" s="1518" t="str">
        <f t="shared" si="105"/>
        <v/>
      </c>
      <c r="G221" s="1519"/>
      <c r="I221" s="1520">
        <f t="shared" si="106"/>
        <v>0</v>
      </c>
      <c r="J221" s="1520"/>
      <c r="K221" s="1520">
        <f t="shared" si="107"/>
        <v>0</v>
      </c>
      <c r="L221" s="1520"/>
      <c r="M221" s="1521">
        <f t="shared" si="108"/>
        <v>0</v>
      </c>
      <c r="N221" s="1508"/>
      <c r="O221" s="778" t="s">
        <v>1382</v>
      </c>
      <c r="P221" s="1508">
        <f t="shared" si="109"/>
        <v>0</v>
      </c>
      <c r="Q221" s="1509"/>
      <c r="S221" s="1522">
        <f t="shared" si="110"/>
        <v>0</v>
      </c>
      <c r="T221" s="1523"/>
      <c r="U221" s="778" t="s">
        <v>1382</v>
      </c>
      <c r="V221" s="1508">
        <f t="shared" si="111"/>
        <v>0</v>
      </c>
      <c r="W221" s="1509"/>
      <c r="Y221" s="744" t="s">
        <v>1476</v>
      </c>
      <c r="Z221" s="1510"/>
      <c r="AA221" s="1510"/>
      <c r="AB221" s="1510"/>
      <c r="AC221" s="779" t="s">
        <v>1471</v>
      </c>
      <c r="AD221" s="1511"/>
      <c r="AE221" s="1512"/>
      <c r="AF221" s="1513"/>
      <c r="AG221" s="1514"/>
      <c r="AH221" s="780" t="s">
        <v>1365</v>
      </c>
      <c r="AI221" s="1514"/>
      <c r="AJ221" s="1515"/>
      <c r="AK221" s="1516"/>
      <c r="AL221" s="1517"/>
      <c r="AM221" s="781" t="s">
        <v>1367</v>
      </c>
      <c r="AN221" s="782" t="str">
        <f t="shared" si="112"/>
        <v>-：（ｈ）、</v>
      </c>
      <c r="AO221" s="683" t="str">
        <f t="shared" si="113"/>
        <v>-</v>
      </c>
      <c r="AP221" s="783"/>
      <c r="AQ221" s="783"/>
      <c r="AR221" s="784">
        <f t="shared" si="114"/>
        <v>0</v>
      </c>
      <c r="AU221" s="752"/>
      <c r="AV221" s="753"/>
    </row>
    <row r="222" spans="1:48">
      <c r="A222" s="582"/>
      <c r="AF222" s="1507" t="s">
        <v>1477</v>
      </c>
      <c r="AG222" s="1507"/>
      <c r="AH222" s="1507"/>
      <c r="AI222" s="1507"/>
      <c r="AJ222" s="1507"/>
    </row>
    <row r="223" spans="1:48">
      <c r="A223" s="582"/>
    </row>
    <row r="224" spans="1:48">
      <c r="A224" s="582"/>
      <c r="T224" s="587"/>
    </row>
  </sheetData>
  <mergeCells count="672">
    <mergeCell ref="AL7:AL9"/>
    <mergeCell ref="AN7:AR8"/>
    <mergeCell ref="B10:B11"/>
    <mergeCell ref="C10:C11"/>
    <mergeCell ref="D10:D11"/>
    <mergeCell ref="E10:E11"/>
    <mergeCell ref="AQ1:AR1"/>
    <mergeCell ref="J2:K2"/>
    <mergeCell ref="O2:P2"/>
    <mergeCell ref="E4:AK5"/>
    <mergeCell ref="D7:D9"/>
    <mergeCell ref="G7:M7"/>
    <mergeCell ref="N7:T7"/>
    <mergeCell ref="U7:AA7"/>
    <mergeCell ref="AB7:AH7"/>
    <mergeCell ref="AI7:AK7"/>
    <mergeCell ref="B16:B17"/>
    <mergeCell ref="C16:C17"/>
    <mergeCell ref="D16:D17"/>
    <mergeCell ref="E16:E17"/>
    <mergeCell ref="B18:B19"/>
    <mergeCell ref="C18:C19"/>
    <mergeCell ref="D18:D19"/>
    <mergeCell ref="E18:E19"/>
    <mergeCell ref="B12:B13"/>
    <mergeCell ref="C12:C13"/>
    <mergeCell ref="D12:D13"/>
    <mergeCell ref="E12:E13"/>
    <mergeCell ref="B14:B15"/>
    <mergeCell ref="C14:C15"/>
    <mergeCell ref="D14:D15"/>
    <mergeCell ref="E14:E15"/>
    <mergeCell ref="B24:B25"/>
    <mergeCell ref="C24:C25"/>
    <mergeCell ref="D24:D25"/>
    <mergeCell ref="E24:E25"/>
    <mergeCell ref="B26:B27"/>
    <mergeCell ref="C26:C27"/>
    <mergeCell ref="D26:D27"/>
    <mergeCell ref="E26:E27"/>
    <mergeCell ref="B20:B21"/>
    <mergeCell ref="C20:C21"/>
    <mergeCell ref="D20:D21"/>
    <mergeCell ref="E20:E21"/>
    <mergeCell ref="B22:B23"/>
    <mergeCell ref="C22:C23"/>
    <mergeCell ref="D22:D23"/>
    <mergeCell ref="E22:E23"/>
    <mergeCell ref="B32:B33"/>
    <mergeCell ref="C32:C33"/>
    <mergeCell ref="D32:D33"/>
    <mergeCell ref="E32:E33"/>
    <mergeCell ref="B34:B35"/>
    <mergeCell ref="C34:C35"/>
    <mergeCell ref="D34:D35"/>
    <mergeCell ref="E34:E35"/>
    <mergeCell ref="B28:B29"/>
    <mergeCell ref="C28:C29"/>
    <mergeCell ref="D28:D29"/>
    <mergeCell ref="E28:E29"/>
    <mergeCell ref="B30:B31"/>
    <mergeCell ref="C30:C31"/>
    <mergeCell ref="D30:D31"/>
    <mergeCell ref="E30:E31"/>
    <mergeCell ref="B40:B41"/>
    <mergeCell ref="C40:C41"/>
    <mergeCell ref="D40:D41"/>
    <mergeCell ref="E40:E41"/>
    <mergeCell ref="B42:B43"/>
    <mergeCell ref="C42:C43"/>
    <mergeCell ref="D42:D43"/>
    <mergeCell ref="E42:E43"/>
    <mergeCell ref="B36:B37"/>
    <mergeCell ref="C36:C37"/>
    <mergeCell ref="D36:D37"/>
    <mergeCell ref="E36:E37"/>
    <mergeCell ref="B38:B39"/>
    <mergeCell ref="C38:C39"/>
    <mergeCell ref="D38:D39"/>
    <mergeCell ref="E38:E39"/>
    <mergeCell ref="B48:B49"/>
    <mergeCell ref="C48:C49"/>
    <mergeCell ref="D48:D49"/>
    <mergeCell ref="E48:E49"/>
    <mergeCell ref="B50:B51"/>
    <mergeCell ref="C50:C51"/>
    <mergeCell ref="D50:D51"/>
    <mergeCell ref="E50:E51"/>
    <mergeCell ref="B44:B45"/>
    <mergeCell ref="C44:C45"/>
    <mergeCell ref="D44:D45"/>
    <mergeCell ref="E44:E45"/>
    <mergeCell ref="B46:B47"/>
    <mergeCell ref="C46:C47"/>
    <mergeCell ref="D46:D47"/>
    <mergeCell ref="E46:E47"/>
    <mergeCell ref="B56:B57"/>
    <mergeCell ref="C56:C57"/>
    <mergeCell ref="D56:D57"/>
    <mergeCell ref="E56:E57"/>
    <mergeCell ref="B58:B59"/>
    <mergeCell ref="C58:C59"/>
    <mergeCell ref="D58:D59"/>
    <mergeCell ref="E58:E59"/>
    <mergeCell ref="B52:B53"/>
    <mergeCell ref="C52:C53"/>
    <mergeCell ref="D52:D53"/>
    <mergeCell ref="E52:E53"/>
    <mergeCell ref="B54:B55"/>
    <mergeCell ref="C54:C55"/>
    <mergeCell ref="D54:D55"/>
    <mergeCell ref="E54:E55"/>
    <mergeCell ref="B64:B65"/>
    <mergeCell ref="C64:C65"/>
    <mergeCell ref="D64:D65"/>
    <mergeCell ref="E64:E65"/>
    <mergeCell ref="B66:B67"/>
    <mergeCell ref="C66:C67"/>
    <mergeCell ref="D66:D67"/>
    <mergeCell ref="E66:E67"/>
    <mergeCell ref="B60:B61"/>
    <mergeCell ref="C60:C61"/>
    <mergeCell ref="D60:D61"/>
    <mergeCell ref="E60:E61"/>
    <mergeCell ref="B62:B63"/>
    <mergeCell ref="C62:C63"/>
    <mergeCell ref="D62:D63"/>
    <mergeCell ref="E62:E63"/>
    <mergeCell ref="B72:B73"/>
    <mergeCell ref="C72:C73"/>
    <mergeCell ref="D72:D73"/>
    <mergeCell ref="E72:E73"/>
    <mergeCell ref="B74:B75"/>
    <mergeCell ref="C74:C75"/>
    <mergeCell ref="D74:D75"/>
    <mergeCell ref="E74:E75"/>
    <mergeCell ref="B68:B69"/>
    <mergeCell ref="C68:C69"/>
    <mergeCell ref="D68:D69"/>
    <mergeCell ref="E68:E69"/>
    <mergeCell ref="B70:B71"/>
    <mergeCell ref="C70:C71"/>
    <mergeCell ref="D70:D71"/>
    <mergeCell ref="E70:E71"/>
    <mergeCell ref="B80:B81"/>
    <mergeCell ref="C80:C81"/>
    <mergeCell ref="D80:D81"/>
    <mergeCell ref="E80:E81"/>
    <mergeCell ref="B82:B83"/>
    <mergeCell ref="C82:C83"/>
    <mergeCell ref="D82:D83"/>
    <mergeCell ref="E82:E83"/>
    <mergeCell ref="B76:B77"/>
    <mergeCell ref="C76:C77"/>
    <mergeCell ref="D76:D77"/>
    <mergeCell ref="E76:E77"/>
    <mergeCell ref="B78:B79"/>
    <mergeCell ref="C78:C79"/>
    <mergeCell ref="D78:D79"/>
    <mergeCell ref="E78:E79"/>
    <mergeCell ref="B88:B89"/>
    <mergeCell ref="C88:C89"/>
    <mergeCell ref="D88:D89"/>
    <mergeCell ref="E88:E89"/>
    <mergeCell ref="B90:B91"/>
    <mergeCell ref="C90:C91"/>
    <mergeCell ref="D90:D91"/>
    <mergeCell ref="E90:E91"/>
    <mergeCell ref="B84:B85"/>
    <mergeCell ref="C84:C85"/>
    <mergeCell ref="D84:D85"/>
    <mergeCell ref="E84:E85"/>
    <mergeCell ref="B86:B87"/>
    <mergeCell ref="C86:C87"/>
    <mergeCell ref="D86:D87"/>
    <mergeCell ref="E86:E87"/>
    <mergeCell ref="B96:B97"/>
    <mergeCell ref="C96:C97"/>
    <mergeCell ref="D96:D97"/>
    <mergeCell ref="E96:E97"/>
    <mergeCell ref="B98:B99"/>
    <mergeCell ref="C98:C99"/>
    <mergeCell ref="D98:D99"/>
    <mergeCell ref="E98:E99"/>
    <mergeCell ref="B92:B93"/>
    <mergeCell ref="C92:C93"/>
    <mergeCell ref="D92:D93"/>
    <mergeCell ref="E92:E93"/>
    <mergeCell ref="B94:B95"/>
    <mergeCell ref="C94:C95"/>
    <mergeCell ref="D94:D95"/>
    <mergeCell ref="E94:E95"/>
    <mergeCell ref="B104:B105"/>
    <mergeCell ref="C104:C105"/>
    <mergeCell ref="D104:D105"/>
    <mergeCell ref="E104:E105"/>
    <mergeCell ref="B106:B107"/>
    <mergeCell ref="C106:C107"/>
    <mergeCell ref="D106:D107"/>
    <mergeCell ref="E106:E107"/>
    <mergeCell ref="B100:B101"/>
    <mergeCell ref="C100:C101"/>
    <mergeCell ref="D100:D101"/>
    <mergeCell ref="E100:E101"/>
    <mergeCell ref="B102:B103"/>
    <mergeCell ref="C102:C103"/>
    <mergeCell ref="D102:D103"/>
    <mergeCell ref="E102:E103"/>
    <mergeCell ref="B112:B113"/>
    <mergeCell ref="C112:C113"/>
    <mergeCell ref="D112:D113"/>
    <mergeCell ref="E112:E113"/>
    <mergeCell ref="B114:B115"/>
    <mergeCell ref="C114:C115"/>
    <mergeCell ref="D114:D115"/>
    <mergeCell ref="E114:E115"/>
    <mergeCell ref="B108:B109"/>
    <mergeCell ref="C108:C109"/>
    <mergeCell ref="D108:D109"/>
    <mergeCell ref="E108:E109"/>
    <mergeCell ref="B110:B111"/>
    <mergeCell ref="C110:C111"/>
    <mergeCell ref="D110:D111"/>
    <mergeCell ref="E110:E111"/>
    <mergeCell ref="B120:B121"/>
    <mergeCell ref="C120:C121"/>
    <mergeCell ref="D120:D121"/>
    <mergeCell ref="E120:E121"/>
    <mergeCell ref="B122:B123"/>
    <mergeCell ref="C122:C123"/>
    <mergeCell ref="D122:D123"/>
    <mergeCell ref="E122:E123"/>
    <mergeCell ref="B116:B117"/>
    <mergeCell ref="C116:C117"/>
    <mergeCell ref="D116:D117"/>
    <mergeCell ref="E116:E117"/>
    <mergeCell ref="B118:B119"/>
    <mergeCell ref="C118:C119"/>
    <mergeCell ref="D118:D119"/>
    <mergeCell ref="E118:E119"/>
    <mergeCell ref="B128:B129"/>
    <mergeCell ref="C128:C129"/>
    <mergeCell ref="D128:D129"/>
    <mergeCell ref="E128:E129"/>
    <mergeCell ref="B130:B131"/>
    <mergeCell ref="C130:C131"/>
    <mergeCell ref="D130:D131"/>
    <mergeCell ref="E130:E131"/>
    <mergeCell ref="B124:B125"/>
    <mergeCell ref="C124:C125"/>
    <mergeCell ref="D124:D125"/>
    <mergeCell ref="E124:E125"/>
    <mergeCell ref="B126:B127"/>
    <mergeCell ref="C126:C127"/>
    <mergeCell ref="D126:D127"/>
    <mergeCell ref="E126:E127"/>
    <mergeCell ref="B136:B137"/>
    <mergeCell ref="C136:C137"/>
    <mergeCell ref="D136:D137"/>
    <mergeCell ref="E136:E137"/>
    <mergeCell ref="B138:B139"/>
    <mergeCell ref="C138:C139"/>
    <mergeCell ref="D138:D139"/>
    <mergeCell ref="E138:E139"/>
    <mergeCell ref="B132:B133"/>
    <mergeCell ref="C132:C133"/>
    <mergeCell ref="D132:D133"/>
    <mergeCell ref="E132:E133"/>
    <mergeCell ref="B134:B135"/>
    <mergeCell ref="C134:C135"/>
    <mergeCell ref="D134:D135"/>
    <mergeCell ref="E134:E135"/>
    <mergeCell ref="C140:C141"/>
    <mergeCell ref="D140:D141"/>
    <mergeCell ref="E140:E141"/>
    <mergeCell ref="C143:E143"/>
    <mergeCell ref="Y146:AB146"/>
    <mergeCell ref="AD146:AL147"/>
    <mergeCell ref="F147:I147"/>
    <mergeCell ref="L147:O147"/>
    <mergeCell ref="S147:W147"/>
    <mergeCell ref="Y147:AB147"/>
    <mergeCell ref="AG148:AH148"/>
    <mergeCell ref="AJ148:AK148"/>
    <mergeCell ref="AN149:AO149"/>
    <mergeCell ref="C150:F150"/>
    <mergeCell ref="AN150:AO150"/>
    <mergeCell ref="C151:E151"/>
    <mergeCell ref="AN151:AO151"/>
    <mergeCell ref="G148:I148"/>
    <mergeCell ref="M148:N148"/>
    <mergeCell ref="Q148:R148"/>
    <mergeCell ref="U148:V148"/>
    <mergeCell ref="Y148:AA148"/>
    <mergeCell ref="AD148:AE148"/>
    <mergeCell ref="C155:E155"/>
    <mergeCell ref="AN155:AO155"/>
    <mergeCell ref="C156:E156"/>
    <mergeCell ref="AN156:AO156"/>
    <mergeCell ref="C157:E157"/>
    <mergeCell ref="AN157:AO157"/>
    <mergeCell ref="C152:E152"/>
    <mergeCell ref="AN152:AO152"/>
    <mergeCell ref="C153:E153"/>
    <mergeCell ref="AN153:AO153"/>
    <mergeCell ref="C154:E154"/>
    <mergeCell ref="AN154:AO154"/>
    <mergeCell ref="C161:E161"/>
    <mergeCell ref="AN161:AO161"/>
    <mergeCell ref="C162:E162"/>
    <mergeCell ref="AN162:AO162"/>
    <mergeCell ref="C163:E163"/>
    <mergeCell ref="AN163:AO163"/>
    <mergeCell ref="C158:E158"/>
    <mergeCell ref="AN158:AO158"/>
    <mergeCell ref="C159:E159"/>
    <mergeCell ref="AN159:AO159"/>
    <mergeCell ref="C160:E160"/>
    <mergeCell ref="AN160:AO160"/>
    <mergeCell ref="C167:E167"/>
    <mergeCell ref="AN167:AO167"/>
    <mergeCell ref="C168:E168"/>
    <mergeCell ref="AN168:AO168"/>
    <mergeCell ref="C169:E169"/>
    <mergeCell ref="AN169:AO169"/>
    <mergeCell ref="C164:E164"/>
    <mergeCell ref="AN164:AO164"/>
    <mergeCell ref="C165:E165"/>
    <mergeCell ref="AN165:AO165"/>
    <mergeCell ref="C166:E166"/>
    <mergeCell ref="AN166:AO166"/>
    <mergeCell ref="C173:E173"/>
    <mergeCell ref="AN173:AO173"/>
    <mergeCell ref="C174:E174"/>
    <mergeCell ref="AN174:AO174"/>
    <mergeCell ref="C175:E175"/>
    <mergeCell ref="AN175:AO175"/>
    <mergeCell ref="C170:E170"/>
    <mergeCell ref="AN170:AO170"/>
    <mergeCell ref="C171:E171"/>
    <mergeCell ref="AN171:AO171"/>
    <mergeCell ref="C172:E172"/>
    <mergeCell ref="AN172:AO172"/>
    <mergeCell ref="AI176:AM176"/>
    <mergeCell ref="AN176:AO176"/>
    <mergeCell ref="C192:E193"/>
    <mergeCell ref="G192:H192"/>
    <mergeCell ref="I192:J192"/>
    <mergeCell ref="L192:M192"/>
    <mergeCell ref="N192:O192"/>
    <mergeCell ref="Q192:R192"/>
    <mergeCell ref="Z192:AB193"/>
    <mergeCell ref="AC192:AC193"/>
    <mergeCell ref="S196:W196"/>
    <mergeCell ref="Z196:AB196"/>
    <mergeCell ref="AC196:AE196"/>
    <mergeCell ref="AF196:AJ196"/>
    <mergeCell ref="AK196:AM196"/>
    <mergeCell ref="AP196:AR196"/>
    <mergeCell ref="L193:M193"/>
    <mergeCell ref="N193:O193"/>
    <mergeCell ref="F196:G196"/>
    <mergeCell ref="I196:J196"/>
    <mergeCell ref="K196:L196"/>
    <mergeCell ref="M196:Q196"/>
    <mergeCell ref="AD192:AE193"/>
    <mergeCell ref="AF192:AG193"/>
    <mergeCell ref="AH192:AH193"/>
    <mergeCell ref="AI192:AJ193"/>
    <mergeCell ref="AK192:AL193"/>
    <mergeCell ref="AM192:AM193"/>
    <mergeCell ref="V197:W197"/>
    <mergeCell ref="Z197:AB197"/>
    <mergeCell ref="AD197:AE197"/>
    <mergeCell ref="AF197:AG197"/>
    <mergeCell ref="AI197:AJ197"/>
    <mergeCell ref="AK197:AL197"/>
    <mergeCell ref="F197:G197"/>
    <mergeCell ref="I197:J197"/>
    <mergeCell ref="K197:L197"/>
    <mergeCell ref="M197:N197"/>
    <mergeCell ref="P197:Q197"/>
    <mergeCell ref="S197:T197"/>
    <mergeCell ref="V198:W198"/>
    <mergeCell ref="Z198:AB198"/>
    <mergeCell ref="AD198:AE198"/>
    <mergeCell ref="AF198:AG198"/>
    <mergeCell ref="AI198:AJ198"/>
    <mergeCell ref="AK198:AL198"/>
    <mergeCell ref="F198:G198"/>
    <mergeCell ref="I198:J198"/>
    <mergeCell ref="K198:L198"/>
    <mergeCell ref="M198:N198"/>
    <mergeCell ref="P198:Q198"/>
    <mergeCell ref="S198:T198"/>
    <mergeCell ref="V199:W199"/>
    <mergeCell ref="Z199:AB199"/>
    <mergeCell ref="AD199:AE199"/>
    <mergeCell ref="AF199:AG199"/>
    <mergeCell ref="AI199:AJ199"/>
    <mergeCell ref="AK199:AL199"/>
    <mergeCell ref="F199:G199"/>
    <mergeCell ref="I199:J199"/>
    <mergeCell ref="K199:L199"/>
    <mergeCell ref="M199:N199"/>
    <mergeCell ref="P199:Q199"/>
    <mergeCell ref="S199:T199"/>
    <mergeCell ref="V200:W200"/>
    <mergeCell ref="Z200:AB200"/>
    <mergeCell ref="AD200:AE200"/>
    <mergeCell ref="AF200:AG200"/>
    <mergeCell ref="AI200:AJ200"/>
    <mergeCell ref="AK200:AL200"/>
    <mergeCell ref="F200:G200"/>
    <mergeCell ref="I200:J200"/>
    <mergeCell ref="K200:L200"/>
    <mergeCell ref="M200:N200"/>
    <mergeCell ref="P200:Q200"/>
    <mergeCell ref="S200:T200"/>
    <mergeCell ref="V201:W201"/>
    <mergeCell ref="Z201:AB201"/>
    <mergeCell ref="AD201:AE201"/>
    <mergeCell ref="AF201:AG201"/>
    <mergeCell ref="AI201:AJ201"/>
    <mergeCell ref="AK201:AL201"/>
    <mergeCell ref="F201:G201"/>
    <mergeCell ref="I201:J201"/>
    <mergeCell ref="K201:L201"/>
    <mergeCell ref="M201:N201"/>
    <mergeCell ref="P201:Q201"/>
    <mergeCell ref="S201:T201"/>
    <mergeCell ref="V202:W202"/>
    <mergeCell ref="Z202:AB202"/>
    <mergeCell ref="AD202:AE202"/>
    <mergeCell ref="AF202:AG202"/>
    <mergeCell ref="AI202:AJ202"/>
    <mergeCell ref="AK202:AL202"/>
    <mergeCell ref="F202:G202"/>
    <mergeCell ref="I202:J202"/>
    <mergeCell ref="K202:L202"/>
    <mergeCell ref="M202:N202"/>
    <mergeCell ref="P202:Q202"/>
    <mergeCell ref="S202:T202"/>
    <mergeCell ref="V203:W203"/>
    <mergeCell ref="Z203:AB203"/>
    <mergeCell ref="AD203:AE203"/>
    <mergeCell ref="AF203:AG203"/>
    <mergeCell ref="AI203:AJ203"/>
    <mergeCell ref="AK203:AL203"/>
    <mergeCell ref="F203:G203"/>
    <mergeCell ref="I203:J203"/>
    <mergeCell ref="K203:L203"/>
    <mergeCell ref="M203:N203"/>
    <mergeCell ref="P203:Q203"/>
    <mergeCell ref="S203:T203"/>
    <mergeCell ref="V204:W204"/>
    <mergeCell ref="Z204:AB204"/>
    <mergeCell ref="AD204:AE204"/>
    <mergeCell ref="AF204:AG204"/>
    <mergeCell ref="AI204:AJ204"/>
    <mergeCell ref="AK204:AL204"/>
    <mergeCell ref="F204:G204"/>
    <mergeCell ref="I204:J204"/>
    <mergeCell ref="K204:L204"/>
    <mergeCell ref="M204:N204"/>
    <mergeCell ref="P204:Q204"/>
    <mergeCell ref="S204:T204"/>
    <mergeCell ref="V205:W205"/>
    <mergeCell ref="Z205:AB205"/>
    <mergeCell ref="AD205:AE205"/>
    <mergeCell ref="AF205:AG205"/>
    <mergeCell ref="AI205:AJ205"/>
    <mergeCell ref="AK205:AL205"/>
    <mergeCell ref="F205:G205"/>
    <mergeCell ref="I205:J205"/>
    <mergeCell ref="K205:L205"/>
    <mergeCell ref="M205:N205"/>
    <mergeCell ref="P205:Q205"/>
    <mergeCell ref="S205:T205"/>
    <mergeCell ref="V206:W206"/>
    <mergeCell ref="Z206:AB206"/>
    <mergeCell ref="AD206:AE206"/>
    <mergeCell ref="AF206:AG206"/>
    <mergeCell ref="AI206:AJ206"/>
    <mergeCell ref="AK206:AL206"/>
    <mergeCell ref="F206:G206"/>
    <mergeCell ref="I206:J206"/>
    <mergeCell ref="K206:L206"/>
    <mergeCell ref="M206:N206"/>
    <mergeCell ref="P206:Q206"/>
    <mergeCell ref="S206:T206"/>
    <mergeCell ref="V207:W207"/>
    <mergeCell ref="Z207:AB207"/>
    <mergeCell ref="AD207:AE207"/>
    <mergeCell ref="AF207:AG207"/>
    <mergeCell ref="AI207:AJ207"/>
    <mergeCell ref="AK207:AL207"/>
    <mergeCell ref="F207:G207"/>
    <mergeCell ref="I207:J207"/>
    <mergeCell ref="K207:L207"/>
    <mergeCell ref="M207:N207"/>
    <mergeCell ref="P207:Q207"/>
    <mergeCell ref="S207:T207"/>
    <mergeCell ref="V208:W208"/>
    <mergeCell ref="Z208:AB208"/>
    <mergeCell ref="AD208:AE208"/>
    <mergeCell ref="AF208:AG208"/>
    <mergeCell ref="AI208:AJ208"/>
    <mergeCell ref="AK208:AL208"/>
    <mergeCell ref="F208:G208"/>
    <mergeCell ref="I208:J208"/>
    <mergeCell ref="K208:L208"/>
    <mergeCell ref="M208:N208"/>
    <mergeCell ref="P208:Q208"/>
    <mergeCell ref="S208:T208"/>
    <mergeCell ref="V209:W209"/>
    <mergeCell ref="Z209:AB209"/>
    <mergeCell ref="AD209:AE209"/>
    <mergeCell ref="AF209:AG209"/>
    <mergeCell ref="AI209:AJ209"/>
    <mergeCell ref="AK209:AL209"/>
    <mergeCell ref="F209:G209"/>
    <mergeCell ref="I209:J209"/>
    <mergeCell ref="K209:L209"/>
    <mergeCell ref="M209:N209"/>
    <mergeCell ref="P209:Q209"/>
    <mergeCell ref="S209:T209"/>
    <mergeCell ref="V210:W210"/>
    <mergeCell ref="Z210:AB210"/>
    <mergeCell ref="AD210:AE210"/>
    <mergeCell ref="AF210:AG210"/>
    <mergeCell ref="AI210:AJ210"/>
    <mergeCell ref="AK210:AL210"/>
    <mergeCell ref="F210:G210"/>
    <mergeCell ref="I210:J210"/>
    <mergeCell ref="K210:L210"/>
    <mergeCell ref="M210:N210"/>
    <mergeCell ref="P210:Q210"/>
    <mergeCell ref="S210:T210"/>
    <mergeCell ref="V211:W211"/>
    <mergeCell ref="Z211:AB211"/>
    <mergeCell ref="AD211:AE211"/>
    <mergeCell ref="AF211:AG211"/>
    <mergeCell ref="AI211:AJ211"/>
    <mergeCell ref="AK211:AL211"/>
    <mergeCell ref="F211:G211"/>
    <mergeCell ref="I211:J211"/>
    <mergeCell ref="K211:L211"/>
    <mergeCell ref="M211:N211"/>
    <mergeCell ref="P211:Q211"/>
    <mergeCell ref="S211:T211"/>
    <mergeCell ref="V212:W212"/>
    <mergeCell ref="Z212:AB212"/>
    <mergeCell ref="AD212:AE212"/>
    <mergeCell ref="AF212:AG212"/>
    <mergeCell ref="AI212:AJ212"/>
    <mergeCell ref="AK212:AL212"/>
    <mergeCell ref="F212:G212"/>
    <mergeCell ref="I212:J212"/>
    <mergeCell ref="K212:L212"/>
    <mergeCell ref="M212:N212"/>
    <mergeCell ref="P212:Q212"/>
    <mergeCell ref="S212:T212"/>
    <mergeCell ref="V213:W213"/>
    <mergeCell ref="Z213:AB213"/>
    <mergeCell ref="AD213:AE213"/>
    <mergeCell ref="AF213:AG213"/>
    <mergeCell ref="AI213:AJ213"/>
    <mergeCell ref="AK213:AL213"/>
    <mergeCell ref="F213:G213"/>
    <mergeCell ref="I213:J213"/>
    <mergeCell ref="K213:L213"/>
    <mergeCell ref="M213:N213"/>
    <mergeCell ref="P213:Q213"/>
    <mergeCell ref="S213:T213"/>
    <mergeCell ref="V214:W214"/>
    <mergeCell ref="Z214:AB214"/>
    <mergeCell ref="AD214:AE214"/>
    <mergeCell ref="AF214:AG214"/>
    <mergeCell ref="AI214:AJ214"/>
    <mergeCell ref="AK214:AL214"/>
    <mergeCell ref="F214:G214"/>
    <mergeCell ref="I214:J214"/>
    <mergeCell ref="K214:L214"/>
    <mergeCell ref="M214:N214"/>
    <mergeCell ref="P214:Q214"/>
    <mergeCell ref="S214:T214"/>
    <mergeCell ref="V215:W215"/>
    <mergeCell ref="Z215:AB215"/>
    <mergeCell ref="AD215:AE215"/>
    <mergeCell ref="AF215:AG215"/>
    <mergeCell ref="AI215:AJ215"/>
    <mergeCell ref="AK215:AL215"/>
    <mergeCell ref="F215:G215"/>
    <mergeCell ref="I215:J215"/>
    <mergeCell ref="K215:L215"/>
    <mergeCell ref="M215:N215"/>
    <mergeCell ref="P215:Q215"/>
    <mergeCell ref="S215:T215"/>
    <mergeCell ref="V216:W216"/>
    <mergeCell ref="Z216:AB216"/>
    <mergeCell ref="AD216:AE216"/>
    <mergeCell ref="AF216:AG216"/>
    <mergeCell ref="AI216:AJ216"/>
    <mergeCell ref="AK216:AL216"/>
    <mergeCell ref="F216:G216"/>
    <mergeCell ref="I216:J216"/>
    <mergeCell ref="K216:L216"/>
    <mergeCell ref="M216:N216"/>
    <mergeCell ref="P216:Q216"/>
    <mergeCell ref="S216:T216"/>
    <mergeCell ref="V217:W217"/>
    <mergeCell ref="Z217:AB217"/>
    <mergeCell ref="AD217:AE217"/>
    <mergeCell ref="AF217:AG217"/>
    <mergeCell ref="AI217:AJ217"/>
    <mergeCell ref="AK217:AL217"/>
    <mergeCell ref="F217:G217"/>
    <mergeCell ref="I217:J217"/>
    <mergeCell ref="K217:L217"/>
    <mergeCell ref="M217:N217"/>
    <mergeCell ref="P217:Q217"/>
    <mergeCell ref="S217:T217"/>
    <mergeCell ref="V218:W218"/>
    <mergeCell ref="Z218:AB218"/>
    <mergeCell ref="AD218:AE218"/>
    <mergeCell ref="AF218:AG218"/>
    <mergeCell ref="AI218:AJ218"/>
    <mergeCell ref="AK218:AL218"/>
    <mergeCell ref="F218:G218"/>
    <mergeCell ref="I218:J218"/>
    <mergeCell ref="K218:L218"/>
    <mergeCell ref="M218:N218"/>
    <mergeCell ref="P218:Q218"/>
    <mergeCell ref="S218:T218"/>
    <mergeCell ref="V219:W219"/>
    <mergeCell ref="Z219:AB219"/>
    <mergeCell ref="AD219:AE219"/>
    <mergeCell ref="AF219:AG219"/>
    <mergeCell ref="AI219:AJ219"/>
    <mergeCell ref="AK219:AL219"/>
    <mergeCell ref="F219:G219"/>
    <mergeCell ref="I219:J219"/>
    <mergeCell ref="K219:L219"/>
    <mergeCell ref="M219:N219"/>
    <mergeCell ref="P219:Q219"/>
    <mergeCell ref="S219:T219"/>
    <mergeCell ref="V220:W220"/>
    <mergeCell ref="Z220:AB220"/>
    <mergeCell ref="AD220:AE220"/>
    <mergeCell ref="AF220:AG220"/>
    <mergeCell ref="AI220:AJ220"/>
    <mergeCell ref="AK220:AL220"/>
    <mergeCell ref="F220:G220"/>
    <mergeCell ref="I220:J220"/>
    <mergeCell ref="K220:L220"/>
    <mergeCell ref="M220:N220"/>
    <mergeCell ref="P220:Q220"/>
    <mergeCell ref="S220:T220"/>
    <mergeCell ref="AF222:AJ222"/>
    <mergeCell ref="V221:W221"/>
    <mergeCell ref="Z221:AB221"/>
    <mergeCell ref="AD221:AE221"/>
    <mergeCell ref="AF221:AG221"/>
    <mergeCell ref="AI221:AJ221"/>
    <mergeCell ref="AK221:AL221"/>
    <mergeCell ref="F221:G221"/>
    <mergeCell ref="I221:J221"/>
    <mergeCell ref="K221:L221"/>
    <mergeCell ref="M221:N221"/>
    <mergeCell ref="P221:Q221"/>
    <mergeCell ref="S221:T221"/>
  </mergeCells>
  <phoneticPr fontId="3"/>
  <dataValidations count="3">
    <dataValidation type="list" allowBlank="1" showInputMessage="1" showErrorMessage="1" sqref="C10:C141" xr:uid="{0EC40F06-7207-4EEE-AF3E-002E3F141712}">
      <formula1>$E$197:$E$221</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ABD0360C-69FC-458A-B7DB-0051593BE7E3}">
      <formula1>$AC$197:$AC$221</formula1>
    </dataValidation>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983204:D983223 D917668:D917687 D852132:D852151 D786596:D786615 D721060:D721079 D655524:D655543 D589988:D590007 D524452:D524471 D458916:D458935 D393380:D393399 D327844:D327863 D262308:D262327 D196772:D196791 D131236:D131255 D65700:D65719 D10 D76 D62 D66 D12 D14" xr:uid="{E01F7BB8-10CB-4867-9C4B-4FF645E37E37}">
      <formula1>$AU$2:$AU$6</formula1>
    </dataValidation>
  </dataValidations>
  <printOptions horizontalCentered="1"/>
  <pageMargins left="0.19685039370078741" right="0.19685039370078741" top="0.78740157480314965" bottom="0.78740157480314965" header="0.31496062992125984" footer="0.31496062992125984"/>
  <pageSetup paperSize="9" scale="74" orientation="landscape" r:id="rId1"/>
  <rowBreaks count="3" manualBreakCount="3">
    <brk id="43" max="44" man="1"/>
    <brk id="144" max="44" man="1"/>
    <brk id="177" max="44" man="1"/>
  </rowBreak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F6869-09CE-4100-AC6A-1C0D3C8C2E0D}">
  <dimension ref="A1:AV224"/>
  <sheetViews>
    <sheetView view="pageBreakPreview" zoomScale="85" zoomScaleNormal="100" zoomScaleSheetLayoutView="85" workbookViewId="0">
      <selection activeCell="AA9" sqref="AA9"/>
    </sheetView>
  </sheetViews>
  <sheetFormatPr defaultColWidth="9" defaultRowHeight="12"/>
  <cols>
    <col min="1" max="1" width="1.77734375" style="587" customWidth="1"/>
    <col min="2" max="2" width="3.44140625" style="582" customWidth="1"/>
    <col min="3" max="3" width="12.88671875" style="582" customWidth="1"/>
    <col min="4" max="4" width="3.44140625" style="582" customWidth="1"/>
    <col min="5" max="5" width="12" style="582" customWidth="1"/>
    <col min="6" max="6" width="3.88671875" style="582" customWidth="1"/>
    <col min="7" max="37" width="3.77734375" style="582" customWidth="1"/>
    <col min="38" max="38" width="8.33203125" style="582" customWidth="1"/>
    <col min="39" max="40" width="5.88671875" style="582" customWidth="1"/>
    <col min="41" max="41" width="2.6640625" style="582" bestFit="1" customWidth="1"/>
    <col min="42" max="42" width="5.21875" style="582" bestFit="1" customWidth="1"/>
    <col min="43" max="43" width="4.88671875" style="582" bestFit="1" customWidth="1"/>
    <col min="44" max="44" width="5.109375" style="582" bestFit="1" customWidth="1"/>
    <col min="45" max="46" width="1.88671875" style="582" customWidth="1"/>
    <col min="47" max="47" width="3.109375" style="582" bestFit="1" customWidth="1"/>
    <col min="48" max="48" width="3.21875" style="582" customWidth="1"/>
    <col min="49" max="16384" width="9" style="587"/>
  </cols>
  <sheetData>
    <row r="1" spans="1:48" ht="15" thickBot="1">
      <c r="A1" s="582"/>
      <c r="C1" s="583" t="s">
        <v>1200</v>
      </c>
      <c r="R1" s="584" t="s">
        <v>1201</v>
      </c>
      <c r="AM1" s="585"/>
      <c r="AN1" s="585"/>
      <c r="AO1" s="585"/>
      <c r="AP1" s="585"/>
      <c r="AQ1" s="1669" t="s">
        <v>1202</v>
      </c>
      <c r="AR1" s="1669"/>
      <c r="AS1" s="586"/>
    </row>
    <row r="2" spans="1:48" ht="14.4">
      <c r="A2" s="582"/>
      <c r="C2" s="587"/>
      <c r="J2" s="1670" t="s">
        <v>1203</v>
      </c>
      <c r="K2" s="1670"/>
      <c r="L2" s="588"/>
      <c r="M2" s="589" t="s">
        <v>1204</v>
      </c>
      <c r="N2" s="590"/>
      <c r="O2" s="1671" t="s">
        <v>1205</v>
      </c>
      <c r="P2" s="1671"/>
      <c r="Q2" s="587"/>
      <c r="T2" s="591"/>
      <c r="U2" s="591"/>
      <c r="AA2" s="592"/>
      <c r="AB2" s="592"/>
      <c r="AC2" s="592"/>
      <c r="AD2" s="592"/>
      <c r="AE2" s="593"/>
      <c r="AF2" s="593"/>
      <c r="AG2" s="593"/>
      <c r="AH2" s="593"/>
      <c r="AI2" s="593"/>
      <c r="AJ2" s="593"/>
      <c r="AK2" s="593"/>
      <c r="AL2" s="593"/>
      <c r="AM2" s="593"/>
      <c r="AN2" s="593"/>
      <c r="AO2" s="593"/>
      <c r="AP2" s="593"/>
      <c r="AQ2" s="594"/>
      <c r="AR2" s="594"/>
      <c r="AU2" s="595" t="s">
        <v>1206</v>
      </c>
      <c r="AV2" s="596">
        <v>1</v>
      </c>
    </row>
    <row r="3" spans="1:48" ht="12.75" customHeight="1" thickBot="1">
      <c r="A3" s="582"/>
      <c r="C3" s="597" t="s">
        <v>1207</v>
      </c>
      <c r="D3" s="598"/>
      <c r="E3" s="587"/>
      <c r="G3" s="587"/>
      <c r="H3" s="599"/>
      <c r="I3" s="599"/>
      <c r="J3" s="599"/>
      <c r="K3" s="599"/>
      <c r="L3" s="599"/>
      <c r="M3" s="599"/>
      <c r="N3" s="599"/>
      <c r="O3" s="599"/>
      <c r="P3" s="599"/>
      <c r="Q3" s="599"/>
      <c r="R3" s="599"/>
      <c r="S3" s="599"/>
      <c r="T3" s="599"/>
      <c r="U3" s="599"/>
      <c r="V3" s="599"/>
      <c r="W3" s="599"/>
      <c r="X3" s="599"/>
      <c r="Y3" s="599"/>
      <c r="Z3" s="599"/>
      <c r="AA3" s="599"/>
      <c r="AB3" s="599"/>
      <c r="AC3" s="599"/>
      <c r="AD3" s="599"/>
      <c r="AE3" s="599"/>
      <c r="AF3" s="599"/>
      <c r="AG3" s="599"/>
      <c r="AH3" s="599"/>
      <c r="AI3" s="599"/>
      <c r="AJ3" s="599"/>
      <c r="AK3" s="599"/>
      <c r="AL3" s="599"/>
      <c r="AM3" s="599"/>
      <c r="AN3" s="593"/>
      <c r="AO3" s="593"/>
      <c r="AP3" s="593"/>
      <c r="AQ3" s="594"/>
      <c r="AR3" s="594"/>
      <c r="AU3" s="600" t="s">
        <v>1208</v>
      </c>
      <c r="AV3" s="601">
        <v>1</v>
      </c>
    </row>
    <row r="4" spans="1:48" ht="12.6" thickBot="1">
      <c r="A4" s="582"/>
      <c r="C4" s="602">
        <v>43800</v>
      </c>
      <c r="D4" s="598"/>
      <c r="E4" s="1672" t="str">
        <f>CONCATENATE(AN197,AN198,AN199,AN200,AN201,AN202,AN203,AN204,AN205,AN206,AN207,AN208,AN209,AN210,AN211,AN212,AN213,AN214,AN215,AN216,AN217,AN218,AN219,AN220,AN221)</f>
        <v>夜：夜勤（7.5ｈ）、明：明け（7.25ｈ）、①：日勤Ａ（7.75ｈ）、②：早出（7.75ｈ）、③：遅出（7.75ｈ）、⑤：午前Ａ（4ｈ）、⑥：午後Ａ（4ｈ）、⑦：日勤Ｂ（7ｈ）、⑧：午前Ｂ（4ｈ）、⑨：午後Ｂ（4ｈ）、⑩：午後Ｃ（4ｈ）、⑪：午後Ｄ（4ｈ）、⑱：日勤Ｃ（7.5ｈ）、⑲：午前Ｃ（4ｈ）、⑳：午前Ｄ（4ｈ）、公：公休（ｈ）、有：有休（ｈ）、欠：欠勤（ｈ）、特：特休（ｈ）、-：（ｈ）、-：（ｈ）、-：（ｈ）、-：（ｈ）、-：（ｈ）、-：（ｈ）、</v>
      </c>
      <c r="F4" s="1673"/>
      <c r="G4" s="1673"/>
      <c r="H4" s="1673"/>
      <c r="I4" s="1673"/>
      <c r="J4" s="1673"/>
      <c r="K4" s="1673"/>
      <c r="L4" s="1673"/>
      <c r="M4" s="1673"/>
      <c r="N4" s="1673"/>
      <c r="O4" s="1673"/>
      <c r="P4" s="1673"/>
      <c r="Q4" s="1673"/>
      <c r="R4" s="1673"/>
      <c r="S4" s="1673"/>
      <c r="T4" s="1673"/>
      <c r="U4" s="1673"/>
      <c r="V4" s="1673"/>
      <c r="W4" s="1673"/>
      <c r="X4" s="1673"/>
      <c r="Y4" s="1673"/>
      <c r="Z4" s="1673"/>
      <c r="AA4" s="1673"/>
      <c r="AB4" s="1673"/>
      <c r="AC4" s="1673"/>
      <c r="AD4" s="1673"/>
      <c r="AE4" s="1673"/>
      <c r="AF4" s="1673"/>
      <c r="AG4" s="1673"/>
      <c r="AH4" s="1673"/>
      <c r="AI4" s="1673"/>
      <c r="AJ4" s="1673"/>
      <c r="AK4" s="1674"/>
      <c r="AL4" s="599"/>
      <c r="AM4" s="599"/>
      <c r="AN4" s="593"/>
      <c r="AO4" s="593"/>
      <c r="AP4" s="593"/>
      <c r="AQ4" s="594"/>
      <c r="AR4" s="594"/>
      <c r="AU4" s="600" t="s">
        <v>1209</v>
      </c>
      <c r="AV4" s="601"/>
    </row>
    <row r="5" spans="1:48" s="582" customFormat="1">
      <c r="C5" s="603">
        <f>DAY(EOMONTH(C4,0))</f>
        <v>31</v>
      </c>
      <c r="D5" s="598"/>
      <c r="E5" s="1675"/>
      <c r="F5" s="1676"/>
      <c r="G5" s="1676"/>
      <c r="H5" s="1676"/>
      <c r="I5" s="1676"/>
      <c r="J5" s="1676"/>
      <c r="K5" s="1676"/>
      <c r="L5" s="1676"/>
      <c r="M5" s="1676"/>
      <c r="N5" s="1676"/>
      <c r="O5" s="1676"/>
      <c r="P5" s="1676"/>
      <c r="Q5" s="1676"/>
      <c r="R5" s="1676"/>
      <c r="S5" s="1676"/>
      <c r="T5" s="1676"/>
      <c r="U5" s="1676"/>
      <c r="V5" s="1676"/>
      <c r="W5" s="1676"/>
      <c r="X5" s="1676"/>
      <c r="Y5" s="1676"/>
      <c r="Z5" s="1676"/>
      <c r="AA5" s="1676"/>
      <c r="AB5" s="1676"/>
      <c r="AC5" s="1676"/>
      <c r="AD5" s="1676"/>
      <c r="AE5" s="1676"/>
      <c r="AF5" s="1676"/>
      <c r="AG5" s="1676"/>
      <c r="AH5" s="1676"/>
      <c r="AI5" s="1676"/>
      <c r="AJ5" s="1676"/>
      <c r="AK5" s="1677"/>
      <c r="AL5" s="599"/>
      <c r="AM5" s="599"/>
      <c r="AN5" s="593"/>
      <c r="AO5" s="593"/>
      <c r="AP5" s="593"/>
      <c r="AQ5" s="594"/>
      <c r="AR5" s="594"/>
      <c r="AU5" s="600" t="s">
        <v>1210</v>
      </c>
      <c r="AV5" s="601"/>
    </row>
    <row r="6" spans="1:48" ht="12.6" thickBot="1">
      <c r="A6" s="582"/>
      <c r="C6" s="604" t="s">
        <v>1211</v>
      </c>
      <c r="T6" s="591"/>
      <c r="U6" s="591"/>
      <c r="AA6" s="592"/>
      <c r="AB6" s="592"/>
      <c r="AC6" s="592"/>
      <c r="AD6" s="592"/>
      <c r="AE6" s="593"/>
      <c r="AF6" s="593"/>
      <c r="AG6" s="593"/>
      <c r="AH6" s="593"/>
      <c r="AI6" s="593"/>
      <c r="AJ6" s="593"/>
      <c r="AK6" s="605" t="s">
        <v>1212</v>
      </c>
      <c r="AL6" s="606">
        <f>N193</f>
        <v>155</v>
      </c>
      <c r="AM6" s="607">
        <f>N192</f>
        <v>38.75</v>
      </c>
      <c r="AN6" s="608"/>
      <c r="AO6" s="608"/>
      <c r="AP6" s="608"/>
      <c r="AQ6" s="594"/>
      <c r="AR6" s="594"/>
      <c r="AU6" s="609"/>
      <c r="AV6" s="610"/>
    </row>
    <row r="7" spans="1:48" ht="15.9" customHeight="1">
      <c r="A7" s="582"/>
      <c r="C7" s="611"/>
      <c r="D7" s="1678" t="s">
        <v>1213</v>
      </c>
      <c r="E7" s="611"/>
      <c r="F7" s="612"/>
      <c r="G7" s="1681" t="s">
        <v>1214</v>
      </c>
      <c r="H7" s="1575"/>
      <c r="I7" s="1575"/>
      <c r="J7" s="1575"/>
      <c r="K7" s="1575"/>
      <c r="L7" s="1575"/>
      <c r="M7" s="1682"/>
      <c r="N7" s="1681" t="s">
        <v>1215</v>
      </c>
      <c r="O7" s="1575"/>
      <c r="P7" s="1575"/>
      <c r="Q7" s="1575"/>
      <c r="R7" s="1575"/>
      <c r="S7" s="1575"/>
      <c r="T7" s="1682"/>
      <c r="U7" s="1681" t="s">
        <v>1216</v>
      </c>
      <c r="V7" s="1575"/>
      <c r="W7" s="1575"/>
      <c r="X7" s="1575"/>
      <c r="Y7" s="1575"/>
      <c r="Z7" s="1575"/>
      <c r="AA7" s="1682"/>
      <c r="AB7" s="1681" t="s">
        <v>1217</v>
      </c>
      <c r="AC7" s="1575"/>
      <c r="AD7" s="1575"/>
      <c r="AE7" s="1575"/>
      <c r="AF7" s="1575"/>
      <c r="AG7" s="1575"/>
      <c r="AH7" s="1682"/>
      <c r="AI7" s="1575"/>
      <c r="AJ7" s="1575"/>
      <c r="AK7" s="1576"/>
      <c r="AL7" s="1660" t="s">
        <v>1218</v>
      </c>
      <c r="AM7" s="613" t="s">
        <v>1219</v>
      </c>
      <c r="AN7" s="1663" t="s">
        <v>1220</v>
      </c>
      <c r="AO7" s="1664"/>
      <c r="AP7" s="1664"/>
      <c r="AQ7" s="1664"/>
      <c r="AR7" s="1665"/>
    </row>
    <row r="8" spans="1:48" ht="15.9" customHeight="1">
      <c r="A8" s="582"/>
      <c r="C8" s="614" t="s">
        <v>1221</v>
      </c>
      <c r="D8" s="1679"/>
      <c r="E8" s="614" t="s">
        <v>1222</v>
      </c>
      <c r="F8" s="615" t="s">
        <v>1223</v>
      </c>
      <c r="G8" s="616">
        <v>1</v>
      </c>
      <c r="H8" s="617">
        <v>2</v>
      </c>
      <c r="I8" s="617">
        <v>3</v>
      </c>
      <c r="J8" s="617">
        <v>4</v>
      </c>
      <c r="K8" s="617">
        <v>5</v>
      </c>
      <c r="L8" s="617">
        <v>6</v>
      </c>
      <c r="M8" s="618">
        <v>7</v>
      </c>
      <c r="N8" s="616">
        <v>8</v>
      </c>
      <c r="O8" s="617">
        <v>9</v>
      </c>
      <c r="P8" s="617">
        <v>10</v>
      </c>
      <c r="Q8" s="617">
        <v>11</v>
      </c>
      <c r="R8" s="617">
        <v>12</v>
      </c>
      <c r="S8" s="617">
        <v>13</v>
      </c>
      <c r="T8" s="618">
        <v>14</v>
      </c>
      <c r="U8" s="616">
        <v>15</v>
      </c>
      <c r="V8" s="617">
        <v>16</v>
      </c>
      <c r="W8" s="617">
        <v>17</v>
      </c>
      <c r="X8" s="617">
        <v>18</v>
      </c>
      <c r="Y8" s="617">
        <v>19</v>
      </c>
      <c r="Z8" s="617">
        <v>20</v>
      </c>
      <c r="AA8" s="618">
        <v>21</v>
      </c>
      <c r="AB8" s="616">
        <v>22</v>
      </c>
      <c r="AC8" s="617">
        <v>23</v>
      </c>
      <c r="AD8" s="617">
        <v>24</v>
      </c>
      <c r="AE8" s="617">
        <v>25</v>
      </c>
      <c r="AF8" s="617">
        <v>26</v>
      </c>
      <c r="AG8" s="617">
        <v>27</v>
      </c>
      <c r="AH8" s="618">
        <v>28</v>
      </c>
      <c r="AI8" s="619">
        <v>29</v>
      </c>
      <c r="AJ8" s="617">
        <v>30</v>
      </c>
      <c r="AK8" s="617">
        <v>31</v>
      </c>
      <c r="AL8" s="1661"/>
      <c r="AM8" s="614" t="s">
        <v>1224</v>
      </c>
      <c r="AN8" s="1666"/>
      <c r="AO8" s="1667"/>
      <c r="AP8" s="1667"/>
      <c r="AQ8" s="1667"/>
      <c r="AR8" s="1668"/>
    </row>
    <row r="9" spans="1:48" ht="15.9" customHeight="1">
      <c r="A9" s="582"/>
      <c r="C9" s="620"/>
      <c r="D9" s="1680"/>
      <c r="E9" s="620"/>
      <c r="F9" s="621" t="s">
        <v>1225</v>
      </c>
      <c r="G9" s="622">
        <f>IF(C4="","",WEEKDAY(C4))</f>
        <v>1</v>
      </c>
      <c r="H9" s="623">
        <f>G9+1</f>
        <v>2</v>
      </c>
      <c r="I9" s="623">
        <f t="shared" ref="I9:AK9" si="0">H9+1</f>
        <v>3</v>
      </c>
      <c r="J9" s="623">
        <f t="shared" si="0"/>
        <v>4</v>
      </c>
      <c r="K9" s="623">
        <f t="shared" si="0"/>
        <v>5</v>
      </c>
      <c r="L9" s="623">
        <f t="shared" si="0"/>
        <v>6</v>
      </c>
      <c r="M9" s="624">
        <f t="shared" si="0"/>
        <v>7</v>
      </c>
      <c r="N9" s="622">
        <f t="shared" si="0"/>
        <v>8</v>
      </c>
      <c r="O9" s="623">
        <f t="shared" si="0"/>
        <v>9</v>
      </c>
      <c r="P9" s="623">
        <f t="shared" si="0"/>
        <v>10</v>
      </c>
      <c r="Q9" s="623">
        <f t="shared" si="0"/>
        <v>11</v>
      </c>
      <c r="R9" s="623">
        <f t="shared" si="0"/>
        <v>12</v>
      </c>
      <c r="S9" s="623">
        <f t="shared" si="0"/>
        <v>13</v>
      </c>
      <c r="T9" s="624">
        <f t="shared" si="0"/>
        <v>14</v>
      </c>
      <c r="U9" s="622">
        <f t="shared" si="0"/>
        <v>15</v>
      </c>
      <c r="V9" s="623">
        <f t="shared" si="0"/>
        <v>16</v>
      </c>
      <c r="W9" s="623">
        <f t="shared" si="0"/>
        <v>17</v>
      </c>
      <c r="X9" s="623">
        <f t="shared" si="0"/>
        <v>18</v>
      </c>
      <c r="Y9" s="623">
        <f t="shared" si="0"/>
        <v>19</v>
      </c>
      <c r="Z9" s="623">
        <f t="shared" si="0"/>
        <v>20</v>
      </c>
      <c r="AA9" s="624">
        <f t="shared" si="0"/>
        <v>21</v>
      </c>
      <c r="AB9" s="622">
        <f t="shared" si="0"/>
        <v>22</v>
      </c>
      <c r="AC9" s="623">
        <f t="shared" si="0"/>
        <v>23</v>
      </c>
      <c r="AD9" s="623">
        <f t="shared" si="0"/>
        <v>24</v>
      </c>
      <c r="AE9" s="623">
        <f t="shared" si="0"/>
        <v>25</v>
      </c>
      <c r="AF9" s="623">
        <f t="shared" si="0"/>
        <v>26</v>
      </c>
      <c r="AG9" s="623">
        <f t="shared" si="0"/>
        <v>27</v>
      </c>
      <c r="AH9" s="624">
        <f t="shared" si="0"/>
        <v>28</v>
      </c>
      <c r="AI9" s="623">
        <f t="shared" si="0"/>
        <v>29</v>
      </c>
      <c r="AJ9" s="623">
        <f t="shared" si="0"/>
        <v>30</v>
      </c>
      <c r="AK9" s="623">
        <f t="shared" si="0"/>
        <v>31</v>
      </c>
      <c r="AL9" s="1662"/>
      <c r="AM9" s="614" t="s">
        <v>1226</v>
      </c>
      <c r="AN9" s="621" t="s">
        <v>1227</v>
      </c>
      <c r="AO9" s="625" t="s">
        <v>1228</v>
      </c>
      <c r="AP9" s="626" t="s">
        <v>1229</v>
      </c>
      <c r="AQ9" s="626" t="s">
        <v>1230</v>
      </c>
      <c r="AR9" s="626" t="s">
        <v>1231</v>
      </c>
    </row>
    <row r="10" spans="1:48" ht="15.9" customHeight="1">
      <c r="A10" s="582"/>
      <c r="B10" s="1655" t="s">
        <v>1232</v>
      </c>
      <c r="C10" s="1640" t="s">
        <v>1401</v>
      </c>
      <c r="D10" s="1642" t="s">
        <v>1206</v>
      </c>
      <c r="E10" s="1644" t="s">
        <v>1478</v>
      </c>
      <c r="F10" s="627" t="s">
        <v>1233</v>
      </c>
      <c r="G10" s="628" t="s">
        <v>1384</v>
      </c>
      <c r="H10" s="629" t="s">
        <v>1389</v>
      </c>
      <c r="I10" s="630"/>
      <c r="J10" s="630" t="s">
        <v>479</v>
      </c>
      <c r="K10" s="630" t="s">
        <v>479</v>
      </c>
      <c r="L10" s="630" t="s">
        <v>479</v>
      </c>
      <c r="M10" s="631"/>
      <c r="N10" s="628" t="s">
        <v>1384</v>
      </c>
      <c r="O10" s="629" t="s">
        <v>1389</v>
      </c>
      <c r="P10" s="630"/>
      <c r="Q10" s="630" t="s">
        <v>479</v>
      </c>
      <c r="R10" s="630" t="s">
        <v>479</v>
      </c>
      <c r="S10" s="630" t="s">
        <v>479</v>
      </c>
      <c r="T10" s="631"/>
      <c r="U10" s="628" t="s">
        <v>1384</v>
      </c>
      <c r="V10" s="629" t="s">
        <v>1389</v>
      </c>
      <c r="W10" s="630"/>
      <c r="X10" s="630" t="s">
        <v>479</v>
      </c>
      <c r="Y10" s="630" t="s">
        <v>479</v>
      </c>
      <c r="Z10" s="630" t="s">
        <v>479</v>
      </c>
      <c r="AA10" s="631"/>
      <c r="AB10" s="628" t="s">
        <v>1384</v>
      </c>
      <c r="AC10" s="629" t="s">
        <v>1389</v>
      </c>
      <c r="AD10" s="630"/>
      <c r="AE10" s="630" t="s">
        <v>479</v>
      </c>
      <c r="AF10" s="630" t="s">
        <v>479</v>
      </c>
      <c r="AG10" s="630" t="s">
        <v>479</v>
      </c>
      <c r="AH10" s="631"/>
      <c r="AI10" s="632" t="s">
        <v>1384</v>
      </c>
      <c r="AJ10" s="630" t="s">
        <v>1389</v>
      </c>
      <c r="AK10" s="630"/>
      <c r="AL10" s="633">
        <f>SUM(G11:AK11)</f>
        <v>166.75</v>
      </c>
      <c r="AM10" s="634"/>
      <c r="AN10" s="635"/>
      <c r="AO10" s="636"/>
      <c r="AP10" s="637"/>
      <c r="AQ10" s="637"/>
      <c r="AR10" s="637"/>
    </row>
    <row r="11" spans="1:48" ht="15.9" customHeight="1">
      <c r="A11" s="582"/>
      <c r="B11" s="1655"/>
      <c r="C11" s="1656"/>
      <c r="D11" s="1657"/>
      <c r="E11" s="1658"/>
      <c r="F11" s="638" t="s">
        <v>1234</v>
      </c>
      <c r="G11" s="639">
        <f t="shared" ref="G11:AK11" si="1">IF(G10&lt;&gt;"",VLOOKUP(G10,$AC$197:$AL$221,9,FALSE),"")</f>
        <v>7.5</v>
      </c>
      <c r="H11" s="640">
        <f t="shared" si="1"/>
        <v>7.25</v>
      </c>
      <c r="I11" s="640" t="str">
        <f t="shared" si="1"/>
        <v/>
      </c>
      <c r="J11" s="640">
        <f t="shared" si="1"/>
        <v>7.75</v>
      </c>
      <c r="K11" s="640">
        <f t="shared" si="1"/>
        <v>7.75</v>
      </c>
      <c r="L11" s="640">
        <f t="shared" si="1"/>
        <v>7.75</v>
      </c>
      <c r="M11" s="641" t="str">
        <f t="shared" si="1"/>
        <v/>
      </c>
      <c r="N11" s="639">
        <f t="shared" si="1"/>
        <v>7.5</v>
      </c>
      <c r="O11" s="640">
        <f t="shared" si="1"/>
        <v>7.25</v>
      </c>
      <c r="P11" s="640" t="str">
        <f t="shared" si="1"/>
        <v/>
      </c>
      <c r="Q11" s="640">
        <f t="shared" si="1"/>
        <v>7.75</v>
      </c>
      <c r="R11" s="640">
        <f t="shared" si="1"/>
        <v>7.75</v>
      </c>
      <c r="S11" s="640">
        <f t="shared" si="1"/>
        <v>7.75</v>
      </c>
      <c r="T11" s="641" t="str">
        <f t="shared" si="1"/>
        <v/>
      </c>
      <c r="U11" s="639">
        <f t="shared" si="1"/>
        <v>7.5</v>
      </c>
      <c r="V11" s="640">
        <f t="shared" si="1"/>
        <v>7.25</v>
      </c>
      <c r="W11" s="640" t="str">
        <f t="shared" si="1"/>
        <v/>
      </c>
      <c r="X11" s="640">
        <f t="shared" si="1"/>
        <v>7.75</v>
      </c>
      <c r="Y11" s="640">
        <f t="shared" si="1"/>
        <v>7.75</v>
      </c>
      <c r="Z11" s="640">
        <f t="shared" si="1"/>
        <v>7.75</v>
      </c>
      <c r="AA11" s="641" t="str">
        <f t="shared" si="1"/>
        <v/>
      </c>
      <c r="AB11" s="639">
        <f t="shared" si="1"/>
        <v>7.5</v>
      </c>
      <c r="AC11" s="640">
        <f t="shared" si="1"/>
        <v>7.25</v>
      </c>
      <c r="AD11" s="640" t="str">
        <f t="shared" si="1"/>
        <v/>
      </c>
      <c r="AE11" s="640">
        <f t="shared" si="1"/>
        <v>7.75</v>
      </c>
      <c r="AF11" s="640">
        <f t="shared" si="1"/>
        <v>7.75</v>
      </c>
      <c r="AG11" s="640">
        <f t="shared" si="1"/>
        <v>7.75</v>
      </c>
      <c r="AH11" s="641" t="str">
        <f t="shared" si="1"/>
        <v/>
      </c>
      <c r="AI11" s="642">
        <f t="shared" si="1"/>
        <v>7.5</v>
      </c>
      <c r="AJ11" s="640">
        <f t="shared" si="1"/>
        <v>7.25</v>
      </c>
      <c r="AK11" s="640" t="str">
        <f t="shared" si="1"/>
        <v/>
      </c>
      <c r="AL11" s="643">
        <f>SUM(G11:AH11)</f>
        <v>152</v>
      </c>
      <c r="AM11" s="644">
        <f>AL11/4</f>
        <v>38</v>
      </c>
      <c r="AN11" s="645" t="str">
        <f>IF(C10="","",C10)</f>
        <v>看護職員（正）</v>
      </c>
      <c r="AO11" s="646" t="str">
        <f>IF(D10="","",D10)</f>
        <v>A</v>
      </c>
      <c r="AP11" s="647">
        <f>IF(D10&lt;&gt;"",VLOOKUP(D10,$AU$2:$AV$6,2,FALSE),"")</f>
        <v>1</v>
      </c>
      <c r="AQ11" s="644">
        <f>ROUNDDOWN(AL11/$AL$6,2)</f>
        <v>0.98</v>
      </c>
      <c r="AR11" s="644" t="str">
        <f>IF(AP11=1,"",AQ11)</f>
        <v/>
      </c>
    </row>
    <row r="12" spans="1:48" ht="15.9" customHeight="1">
      <c r="A12" s="582"/>
      <c r="B12" s="1655" t="s">
        <v>1235</v>
      </c>
      <c r="C12" s="1640" t="s">
        <v>1401</v>
      </c>
      <c r="D12" s="1642" t="s">
        <v>1206</v>
      </c>
      <c r="E12" s="1644"/>
      <c r="F12" s="627" t="s">
        <v>1233</v>
      </c>
      <c r="G12" s="628"/>
      <c r="H12" s="629" t="s">
        <v>1384</v>
      </c>
      <c r="I12" s="630" t="s">
        <v>1389</v>
      </c>
      <c r="J12" s="630"/>
      <c r="K12" s="630" t="s">
        <v>479</v>
      </c>
      <c r="L12" s="630" t="s">
        <v>479</v>
      </c>
      <c r="M12" s="631" t="s">
        <v>479</v>
      </c>
      <c r="N12" s="628"/>
      <c r="O12" s="629" t="s">
        <v>1384</v>
      </c>
      <c r="P12" s="630" t="s">
        <v>1389</v>
      </c>
      <c r="Q12" s="630"/>
      <c r="R12" s="630" t="s">
        <v>479</v>
      </c>
      <c r="S12" s="630" t="s">
        <v>479</v>
      </c>
      <c r="T12" s="631" t="s">
        <v>479</v>
      </c>
      <c r="U12" s="628"/>
      <c r="V12" s="629" t="s">
        <v>1384</v>
      </c>
      <c r="W12" s="630" t="s">
        <v>1389</v>
      </c>
      <c r="X12" s="630"/>
      <c r="Y12" s="630" t="s">
        <v>479</v>
      </c>
      <c r="Z12" s="630" t="s">
        <v>479</v>
      </c>
      <c r="AA12" s="631" t="s">
        <v>479</v>
      </c>
      <c r="AB12" s="628"/>
      <c r="AC12" s="629" t="s">
        <v>1384</v>
      </c>
      <c r="AD12" s="630" t="s">
        <v>1389</v>
      </c>
      <c r="AE12" s="630"/>
      <c r="AF12" s="630" t="s">
        <v>479</v>
      </c>
      <c r="AG12" s="630" t="s">
        <v>479</v>
      </c>
      <c r="AH12" s="631" t="s">
        <v>479</v>
      </c>
      <c r="AI12" s="648"/>
      <c r="AJ12" s="629" t="s">
        <v>1384</v>
      </c>
      <c r="AK12" s="629" t="s">
        <v>1389</v>
      </c>
      <c r="AL12" s="633">
        <f>SUM(G13:AK13)</f>
        <v>166.75</v>
      </c>
      <c r="AM12" s="634"/>
      <c r="AN12" s="635"/>
      <c r="AO12" s="636"/>
      <c r="AP12" s="634"/>
      <c r="AQ12" s="637"/>
      <c r="AR12" s="637"/>
    </row>
    <row r="13" spans="1:48" ht="15.9" customHeight="1">
      <c r="A13" s="582"/>
      <c r="B13" s="1655"/>
      <c r="C13" s="1656"/>
      <c r="D13" s="1657"/>
      <c r="E13" s="1658"/>
      <c r="F13" s="638" t="s">
        <v>1234</v>
      </c>
      <c r="G13" s="639" t="str">
        <f t="shared" ref="G13:AK13" si="2">IF(G12&lt;&gt;"",VLOOKUP(G12,$AC$197:$AL$221,9,FALSE),"")</f>
        <v/>
      </c>
      <c r="H13" s="640">
        <f t="shared" si="2"/>
        <v>7.5</v>
      </c>
      <c r="I13" s="640">
        <f t="shared" si="2"/>
        <v>7.25</v>
      </c>
      <c r="J13" s="640" t="str">
        <f t="shared" si="2"/>
        <v/>
      </c>
      <c r="K13" s="640">
        <f t="shared" si="2"/>
        <v>7.75</v>
      </c>
      <c r="L13" s="640">
        <f t="shared" si="2"/>
        <v>7.75</v>
      </c>
      <c r="M13" s="641">
        <f t="shared" si="2"/>
        <v>7.75</v>
      </c>
      <c r="N13" s="639" t="str">
        <f t="shared" si="2"/>
        <v/>
      </c>
      <c r="O13" s="640">
        <f t="shared" si="2"/>
        <v>7.5</v>
      </c>
      <c r="P13" s="640">
        <f t="shared" si="2"/>
        <v>7.25</v>
      </c>
      <c r="Q13" s="640" t="str">
        <f t="shared" si="2"/>
        <v/>
      </c>
      <c r="R13" s="640">
        <f t="shared" si="2"/>
        <v>7.75</v>
      </c>
      <c r="S13" s="640">
        <f t="shared" si="2"/>
        <v>7.75</v>
      </c>
      <c r="T13" s="641">
        <f t="shared" si="2"/>
        <v>7.75</v>
      </c>
      <c r="U13" s="639" t="str">
        <f t="shared" si="2"/>
        <v/>
      </c>
      <c r="V13" s="640">
        <f t="shared" si="2"/>
        <v>7.5</v>
      </c>
      <c r="W13" s="640">
        <f t="shared" si="2"/>
        <v>7.25</v>
      </c>
      <c r="X13" s="640" t="str">
        <f t="shared" si="2"/>
        <v/>
      </c>
      <c r="Y13" s="640">
        <f t="shared" si="2"/>
        <v>7.75</v>
      </c>
      <c r="Z13" s="640">
        <f t="shared" si="2"/>
        <v>7.75</v>
      </c>
      <c r="AA13" s="641">
        <f t="shared" si="2"/>
        <v>7.75</v>
      </c>
      <c r="AB13" s="639" t="str">
        <f t="shared" si="2"/>
        <v/>
      </c>
      <c r="AC13" s="640">
        <f t="shared" si="2"/>
        <v>7.5</v>
      </c>
      <c r="AD13" s="640">
        <f t="shared" si="2"/>
        <v>7.25</v>
      </c>
      <c r="AE13" s="640" t="str">
        <f t="shared" si="2"/>
        <v/>
      </c>
      <c r="AF13" s="640">
        <f t="shared" si="2"/>
        <v>7.75</v>
      </c>
      <c r="AG13" s="640">
        <f t="shared" si="2"/>
        <v>7.75</v>
      </c>
      <c r="AH13" s="641">
        <f t="shared" si="2"/>
        <v>7.75</v>
      </c>
      <c r="AI13" s="642" t="str">
        <f t="shared" si="2"/>
        <v/>
      </c>
      <c r="AJ13" s="640">
        <f t="shared" si="2"/>
        <v>7.5</v>
      </c>
      <c r="AK13" s="640">
        <f t="shared" si="2"/>
        <v>7.25</v>
      </c>
      <c r="AL13" s="643">
        <f>SUM(G13:AH13)</f>
        <v>152</v>
      </c>
      <c r="AM13" s="644">
        <f>AL13/4</f>
        <v>38</v>
      </c>
      <c r="AN13" s="645" t="str">
        <f>IF(C12="","",C12)</f>
        <v>看護職員（正）</v>
      </c>
      <c r="AO13" s="646" t="str">
        <f>IF(D12="","",D12)</f>
        <v>A</v>
      </c>
      <c r="AP13" s="647">
        <f>IF(D12&lt;&gt;"",VLOOKUP(D12,$AU$2:$AV$6,2,FALSE),"")</f>
        <v>1</v>
      </c>
      <c r="AQ13" s="644">
        <f>ROUNDDOWN(AL13/$AL$6,2)</f>
        <v>0.98</v>
      </c>
      <c r="AR13" s="644" t="str">
        <f>IF(AP13=1,"",AQ13)</f>
        <v/>
      </c>
    </row>
    <row r="14" spans="1:48" ht="15.9" customHeight="1">
      <c r="A14" s="582"/>
      <c r="B14" s="1655" t="s">
        <v>1236</v>
      </c>
      <c r="C14" s="1640" t="s">
        <v>1406</v>
      </c>
      <c r="D14" s="1642" t="s">
        <v>1206</v>
      </c>
      <c r="E14" s="1644"/>
      <c r="F14" s="627" t="s">
        <v>1233</v>
      </c>
      <c r="G14" s="628"/>
      <c r="H14" s="629"/>
      <c r="I14" s="630" t="s">
        <v>1384</v>
      </c>
      <c r="J14" s="630" t="s">
        <v>1389</v>
      </c>
      <c r="K14" s="630"/>
      <c r="L14" s="630" t="s">
        <v>479</v>
      </c>
      <c r="M14" s="631" t="s">
        <v>479</v>
      </c>
      <c r="N14" s="628" t="s">
        <v>479</v>
      </c>
      <c r="O14" s="629"/>
      <c r="P14" s="630" t="s">
        <v>1384</v>
      </c>
      <c r="Q14" s="630" t="s">
        <v>1389</v>
      </c>
      <c r="R14" s="630"/>
      <c r="S14" s="630" t="s">
        <v>479</v>
      </c>
      <c r="T14" s="631" t="s">
        <v>479</v>
      </c>
      <c r="U14" s="628" t="s">
        <v>479</v>
      </c>
      <c r="V14" s="629"/>
      <c r="W14" s="630" t="s">
        <v>1384</v>
      </c>
      <c r="X14" s="630" t="s">
        <v>1389</v>
      </c>
      <c r="Y14" s="630"/>
      <c r="Z14" s="630" t="s">
        <v>479</v>
      </c>
      <c r="AA14" s="631" t="s">
        <v>479</v>
      </c>
      <c r="AB14" s="628" t="s">
        <v>479</v>
      </c>
      <c r="AC14" s="629"/>
      <c r="AD14" s="630" t="s">
        <v>1384</v>
      </c>
      <c r="AE14" s="630" t="s">
        <v>1389</v>
      </c>
      <c r="AF14" s="630"/>
      <c r="AG14" s="630" t="s">
        <v>479</v>
      </c>
      <c r="AH14" s="631" t="s">
        <v>479</v>
      </c>
      <c r="AI14" s="648" t="s">
        <v>479</v>
      </c>
      <c r="AJ14" s="629"/>
      <c r="AK14" s="629" t="s">
        <v>1384</v>
      </c>
      <c r="AL14" s="633">
        <f>SUM(G15:AK15)</f>
        <v>159.5</v>
      </c>
      <c r="AM14" s="634"/>
      <c r="AN14" s="635"/>
      <c r="AO14" s="636"/>
      <c r="AP14" s="634"/>
      <c r="AQ14" s="637"/>
      <c r="AR14" s="637"/>
    </row>
    <row r="15" spans="1:48" ht="15.9" customHeight="1">
      <c r="A15" s="582"/>
      <c r="B15" s="1655"/>
      <c r="C15" s="1656"/>
      <c r="D15" s="1657"/>
      <c r="E15" s="1658"/>
      <c r="F15" s="638" t="s">
        <v>1234</v>
      </c>
      <c r="G15" s="639" t="str">
        <f t="shared" ref="G15:AK15" si="3">IF(G14&lt;&gt;"",VLOOKUP(G14,$AC$197:$AL$221,9,FALSE),"")</f>
        <v/>
      </c>
      <c r="H15" s="640" t="str">
        <f t="shared" si="3"/>
        <v/>
      </c>
      <c r="I15" s="640">
        <f t="shared" si="3"/>
        <v>7.5</v>
      </c>
      <c r="J15" s="640">
        <f t="shared" si="3"/>
        <v>7.25</v>
      </c>
      <c r="K15" s="640" t="str">
        <f t="shared" si="3"/>
        <v/>
      </c>
      <c r="L15" s="640">
        <f t="shared" si="3"/>
        <v>7.75</v>
      </c>
      <c r="M15" s="641">
        <f t="shared" si="3"/>
        <v>7.75</v>
      </c>
      <c r="N15" s="639">
        <f t="shared" si="3"/>
        <v>7.75</v>
      </c>
      <c r="O15" s="640" t="str">
        <f t="shared" si="3"/>
        <v/>
      </c>
      <c r="P15" s="640">
        <f t="shared" si="3"/>
        <v>7.5</v>
      </c>
      <c r="Q15" s="640">
        <f t="shared" si="3"/>
        <v>7.25</v>
      </c>
      <c r="R15" s="640" t="str">
        <f t="shared" si="3"/>
        <v/>
      </c>
      <c r="S15" s="640">
        <f t="shared" si="3"/>
        <v>7.75</v>
      </c>
      <c r="T15" s="641">
        <f t="shared" si="3"/>
        <v>7.75</v>
      </c>
      <c r="U15" s="639">
        <f t="shared" si="3"/>
        <v>7.75</v>
      </c>
      <c r="V15" s="640" t="str">
        <f t="shared" si="3"/>
        <v/>
      </c>
      <c r="W15" s="640">
        <f t="shared" si="3"/>
        <v>7.5</v>
      </c>
      <c r="X15" s="640">
        <f t="shared" si="3"/>
        <v>7.25</v>
      </c>
      <c r="Y15" s="640" t="str">
        <f t="shared" si="3"/>
        <v/>
      </c>
      <c r="Z15" s="640">
        <f t="shared" si="3"/>
        <v>7.75</v>
      </c>
      <c r="AA15" s="641">
        <f t="shared" si="3"/>
        <v>7.75</v>
      </c>
      <c r="AB15" s="639">
        <f t="shared" si="3"/>
        <v>7.75</v>
      </c>
      <c r="AC15" s="640" t="str">
        <f t="shared" si="3"/>
        <v/>
      </c>
      <c r="AD15" s="640">
        <f t="shared" si="3"/>
        <v>7.5</v>
      </c>
      <c r="AE15" s="640">
        <f t="shared" si="3"/>
        <v>7.25</v>
      </c>
      <c r="AF15" s="640" t="str">
        <f t="shared" si="3"/>
        <v/>
      </c>
      <c r="AG15" s="640">
        <f t="shared" si="3"/>
        <v>7.75</v>
      </c>
      <c r="AH15" s="641">
        <f t="shared" si="3"/>
        <v>7.75</v>
      </c>
      <c r="AI15" s="642">
        <f t="shared" si="3"/>
        <v>7.75</v>
      </c>
      <c r="AJ15" s="640" t="str">
        <f t="shared" si="3"/>
        <v/>
      </c>
      <c r="AK15" s="640">
        <f t="shared" si="3"/>
        <v>7.5</v>
      </c>
      <c r="AL15" s="643">
        <f>SUM(G15:AH15)</f>
        <v>144.25</v>
      </c>
      <c r="AM15" s="644">
        <f>AL15/4</f>
        <v>36.0625</v>
      </c>
      <c r="AN15" s="645" t="str">
        <f>IF(C14="","",C14)</f>
        <v>看護職員（准）</v>
      </c>
      <c r="AO15" s="646" t="str">
        <f>IF(D14="","",D14)</f>
        <v>A</v>
      </c>
      <c r="AP15" s="647">
        <f>IF(D14&lt;&gt;"",VLOOKUP(D14,$AU$2:$AV$6,2,FALSE),"")</f>
        <v>1</v>
      </c>
      <c r="AQ15" s="644">
        <f>ROUNDDOWN(AL15/$AL$6,2)</f>
        <v>0.93</v>
      </c>
      <c r="AR15" s="644" t="str">
        <f>IF(AP15=1,"",AQ15)</f>
        <v/>
      </c>
    </row>
    <row r="16" spans="1:48" ht="15.9" customHeight="1">
      <c r="A16" s="582"/>
      <c r="B16" s="1655" t="s">
        <v>1237</v>
      </c>
      <c r="C16" s="1640" t="s">
        <v>1401</v>
      </c>
      <c r="D16" s="1642" t="s">
        <v>1209</v>
      </c>
      <c r="E16" s="1644"/>
      <c r="F16" s="627" t="s">
        <v>1233</v>
      </c>
      <c r="G16" s="628"/>
      <c r="H16" s="629"/>
      <c r="I16" s="630"/>
      <c r="J16" s="630" t="s">
        <v>1384</v>
      </c>
      <c r="K16" s="630" t="s">
        <v>1389</v>
      </c>
      <c r="L16" s="630"/>
      <c r="M16" s="631" t="s">
        <v>479</v>
      </c>
      <c r="N16" s="628" t="s">
        <v>479</v>
      </c>
      <c r="O16" s="629" t="s">
        <v>479</v>
      </c>
      <c r="P16" s="630"/>
      <c r="Q16" s="630" t="s">
        <v>1384</v>
      </c>
      <c r="R16" s="630" t="s">
        <v>1389</v>
      </c>
      <c r="S16" s="630"/>
      <c r="T16" s="631" t="s">
        <v>479</v>
      </c>
      <c r="U16" s="628" t="s">
        <v>479</v>
      </c>
      <c r="V16" s="629" t="s">
        <v>479</v>
      </c>
      <c r="W16" s="630"/>
      <c r="X16" s="630" t="s">
        <v>1384</v>
      </c>
      <c r="Y16" s="630" t="s">
        <v>1389</v>
      </c>
      <c r="Z16" s="630"/>
      <c r="AA16" s="631" t="s">
        <v>479</v>
      </c>
      <c r="AB16" s="628" t="s">
        <v>479</v>
      </c>
      <c r="AC16" s="629" t="s">
        <v>479</v>
      </c>
      <c r="AD16" s="630"/>
      <c r="AE16" s="630" t="s">
        <v>1384</v>
      </c>
      <c r="AF16" s="630" t="s">
        <v>1389</v>
      </c>
      <c r="AG16" s="630"/>
      <c r="AH16" s="631" t="s">
        <v>479</v>
      </c>
      <c r="AI16" s="648" t="s">
        <v>479</v>
      </c>
      <c r="AJ16" s="629" t="s">
        <v>479</v>
      </c>
      <c r="AK16" s="629"/>
      <c r="AL16" s="633">
        <f>SUM(G17:AK17)</f>
        <v>152</v>
      </c>
      <c r="AM16" s="634"/>
      <c r="AN16" s="635"/>
      <c r="AO16" s="636"/>
      <c r="AP16" s="634"/>
      <c r="AQ16" s="637"/>
      <c r="AR16" s="637"/>
    </row>
    <row r="17" spans="1:44" ht="15.9" customHeight="1">
      <c r="A17" s="582"/>
      <c r="B17" s="1655"/>
      <c r="C17" s="1656"/>
      <c r="D17" s="1657"/>
      <c r="E17" s="1658"/>
      <c r="F17" s="638" t="s">
        <v>1234</v>
      </c>
      <c r="G17" s="639" t="str">
        <f t="shared" ref="G17:AK17" si="4">IF(G16&lt;&gt;"",VLOOKUP(G16,$AC$197:$AL$221,9,FALSE),"")</f>
        <v/>
      </c>
      <c r="H17" s="640" t="str">
        <f t="shared" si="4"/>
        <v/>
      </c>
      <c r="I17" s="640" t="str">
        <f t="shared" si="4"/>
        <v/>
      </c>
      <c r="J17" s="640">
        <f t="shared" si="4"/>
        <v>7.5</v>
      </c>
      <c r="K17" s="640">
        <f t="shared" si="4"/>
        <v>7.25</v>
      </c>
      <c r="L17" s="640" t="str">
        <f t="shared" si="4"/>
        <v/>
      </c>
      <c r="M17" s="641">
        <f t="shared" si="4"/>
        <v>7.75</v>
      </c>
      <c r="N17" s="639">
        <f t="shared" si="4"/>
        <v>7.75</v>
      </c>
      <c r="O17" s="640">
        <f t="shared" si="4"/>
        <v>7.75</v>
      </c>
      <c r="P17" s="640" t="str">
        <f t="shared" si="4"/>
        <v/>
      </c>
      <c r="Q17" s="640">
        <f t="shared" si="4"/>
        <v>7.5</v>
      </c>
      <c r="R17" s="640">
        <f t="shared" si="4"/>
        <v>7.25</v>
      </c>
      <c r="S17" s="640" t="str">
        <f t="shared" si="4"/>
        <v/>
      </c>
      <c r="T17" s="641">
        <f t="shared" si="4"/>
        <v>7.75</v>
      </c>
      <c r="U17" s="639">
        <f t="shared" si="4"/>
        <v>7.75</v>
      </c>
      <c r="V17" s="640">
        <f t="shared" si="4"/>
        <v>7.75</v>
      </c>
      <c r="W17" s="640" t="str">
        <f t="shared" si="4"/>
        <v/>
      </c>
      <c r="X17" s="640">
        <f t="shared" si="4"/>
        <v>7.5</v>
      </c>
      <c r="Y17" s="640">
        <f t="shared" si="4"/>
        <v>7.25</v>
      </c>
      <c r="Z17" s="640" t="str">
        <f t="shared" si="4"/>
        <v/>
      </c>
      <c r="AA17" s="641">
        <f t="shared" si="4"/>
        <v>7.75</v>
      </c>
      <c r="AB17" s="639">
        <f t="shared" si="4"/>
        <v>7.75</v>
      </c>
      <c r="AC17" s="640">
        <f t="shared" si="4"/>
        <v>7.75</v>
      </c>
      <c r="AD17" s="640" t="str">
        <f t="shared" si="4"/>
        <v/>
      </c>
      <c r="AE17" s="640">
        <f t="shared" si="4"/>
        <v>7.5</v>
      </c>
      <c r="AF17" s="640">
        <f t="shared" si="4"/>
        <v>7.25</v>
      </c>
      <c r="AG17" s="640" t="str">
        <f t="shared" si="4"/>
        <v/>
      </c>
      <c r="AH17" s="641">
        <f t="shared" si="4"/>
        <v>7.75</v>
      </c>
      <c r="AI17" s="642">
        <f t="shared" si="4"/>
        <v>7.75</v>
      </c>
      <c r="AJ17" s="640">
        <f t="shared" si="4"/>
        <v>7.75</v>
      </c>
      <c r="AK17" s="640" t="str">
        <f t="shared" si="4"/>
        <v/>
      </c>
      <c r="AL17" s="643">
        <f>SUM(G17:AH17)</f>
        <v>136.5</v>
      </c>
      <c r="AM17" s="644">
        <f>AL17/4</f>
        <v>34.125</v>
      </c>
      <c r="AN17" s="645" t="str">
        <f>IF(C16="","",C16)</f>
        <v>看護職員（正）</v>
      </c>
      <c r="AO17" s="646" t="str">
        <f>IF(D16="","",D16)</f>
        <v>Ｃ</v>
      </c>
      <c r="AP17" s="647">
        <f>IF(D16&lt;&gt;"",VLOOKUP(D16,$AU$2:$AV$6,2,FALSE),"")</f>
        <v>0</v>
      </c>
      <c r="AQ17" s="644">
        <f>ROUNDDOWN(AL17/$AL$6,2)</f>
        <v>0.88</v>
      </c>
      <c r="AR17" s="644">
        <f>IF(AP17=1,"",AQ17)</f>
        <v>0.88</v>
      </c>
    </row>
    <row r="18" spans="1:44" ht="15.9" customHeight="1">
      <c r="A18" s="582"/>
      <c r="B18" s="1655" t="s">
        <v>1238</v>
      </c>
      <c r="C18" s="1640"/>
      <c r="D18" s="1642"/>
      <c r="E18" s="1644"/>
      <c r="F18" s="627" t="s">
        <v>1233</v>
      </c>
      <c r="G18" s="628"/>
      <c r="H18" s="629"/>
      <c r="I18" s="630"/>
      <c r="J18" s="630"/>
      <c r="K18" s="630" t="s">
        <v>1384</v>
      </c>
      <c r="L18" s="630" t="s">
        <v>1389</v>
      </c>
      <c r="M18" s="631"/>
      <c r="N18" s="628" t="s">
        <v>479</v>
      </c>
      <c r="O18" s="629" t="s">
        <v>479</v>
      </c>
      <c r="P18" s="630" t="s">
        <v>479</v>
      </c>
      <c r="Q18" s="630"/>
      <c r="R18" s="630" t="s">
        <v>1384</v>
      </c>
      <c r="S18" s="630" t="s">
        <v>1389</v>
      </c>
      <c r="T18" s="631"/>
      <c r="U18" s="628" t="s">
        <v>479</v>
      </c>
      <c r="V18" s="629" t="s">
        <v>479</v>
      </c>
      <c r="W18" s="630" t="s">
        <v>479</v>
      </c>
      <c r="X18" s="630"/>
      <c r="Y18" s="630" t="s">
        <v>1384</v>
      </c>
      <c r="Z18" s="630" t="s">
        <v>1389</v>
      </c>
      <c r="AA18" s="631"/>
      <c r="AB18" s="628" t="s">
        <v>479</v>
      </c>
      <c r="AC18" s="629" t="s">
        <v>479</v>
      </c>
      <c r="AD18" s="630" t="s">
        <v>479</v>
      </c>
      <c r="AE18" s="630"/>
      <c r="AF18" s="630" t="s">
        <v>1384</v>
      </c>
      <c r="AG18" s="630" t="s">
        <v>1389</v>
      </c>
      <c r="AH18" s="631"/>
      <c r="AI18" s="632" t="s">
        <v>479</v>
      </c>
      <c r="AJ18" s="630" t="s">
        <v>479</v>
      </c>
      <c r="AK18" s="630" t="s">
        <v>479</v>
      </c>
      <c r="AL18" s="633">
        <f>SUM(G19:AK19)</f>
        <v>152</v>
      </c>
      <c r="AM18" s="634"/>
      <c r="AN18" s="635"/>
      <c r="AO18" s="636"/>
      <c r="AP18" s="634"/>
      <c r="AQ18" s="637"/>
      <c r="AR18" s="637"/>
    </row>
    <row r="19" spans="1:44" ht="15.9" customHeight="1">
      <c r="A19" s="582"/>
      <c r="B19" s="1655"/>
      <c r="C19" s="1656"/>
      <c r="D19" s="1657"/>
      <c r="E19" s="1658"/>
      <c r="F19" s="638" t="s">
        <v>1234</v>
      </c>
      <c r="G19" s="639" t="str">
        <f t="shared" ref="G19:AK19" si="5">IF(G18&lt;&gt;"",VLOOKUP(G18,$AC$197:$AL$221,9,FALSE),"")</f>
        <v/>
      </c>
      <c r="H19" s="640" t="str">
        <f t="shared" si="5"/>
        <v/>
      </c>
      <c r="I19" s="640" t="str">
        <f t="shared" si="5"/>
        <v/>
      </c>
      <c r="J19" s="640" t="str">
        <f t="shared" si="5"/>
        <v/>
      </c>
      <c r="K19" s="640">
        <f t="shared" si="5"/>
        <v>7.5</v>
      </c>
      <c r="L19" s="640">
        <f t="shared" si="5"/>
        <v>7.25</v>
      </c>
      <c r="M19" s="641" t="str">
        <f t="shared" si="5"/>
        <v/>
      </c>
      <c r="N19" s="639">
        <f t="shared" si="5"/>
        <v>7.75</v>
      </c>
      <c r="O19" s="640">
        <f t="shared" si="5"/>
        <v>7.75</v>
      </c>
      <c r="P19" s="640">
        <f t="shared" si="5"/>
        <v>7.75</v>
      </c>
      <c r="Q19" s="640" t="str">
        <f t="shared" si="5"/>
        <v/>
      </c>
      <c r="R19" s="640">
        <f t="shared" si="5"/>
        <v>7.5</v>
      </c>
      <c r="S19" s="640">
        <f t="shared" si="5"/>
        <v>7.25</v>
      </c>
      <c r="T19" s="641" t="str">
        <f t="shared" si="5"/>
        <v/>
      </c>
      <c r="U19" s="639">
        <f t="shared" si="5"/>
        <v>7.75</v>
      </c>
      <c r="V19" s="640">
        <f t="shared" si="5"/>
        <v>7.75</v>
      </c>
      <c r="W19" s="640">
        <f t="shared" si="5"/>
        <v>7.75</v>
      </c>
      <c r="X19" s="640" t="str">
        <f t="shared" si="5"/>
        <v/>
      </c>
      <c r="Y19" s="640">
        <f t="shared" si="5"/>
        <v>7.5</v>
      </c>
      <c r="Z19" s="640">
        <f t="shared" si="5"/>
        <v>7.25</v>
      </c>
      <c r="AA19" s="641" t="str">
        <f t="shared" si="5"/>
        <v/>
      </c>
      <c r="AB19" s="639">
        <f t="shared" si="5"/>
        <v>7.75</v>
      </c>
      <c r="AC19" s="640">
        <f t="shared" si="5"/>
        <v>7.75</v>
      </c>
      <c r="AD19" s="640">
        <f t="shared" si="5"/>
        <v>7.75</v>
      </c>
      <c r="AE19" s="640" t="str">
        <f t="shared" si="5"/>
        <v/>
      </c>
      <c r="AF19" s="640">
        <f t="shared" si="5"/>
        <v>7.5</v>
      </c>
      <c r="AG19" s="640">
        <f t="shared" si="5"/>
        <v>7.25</v>
      </c>
      <c r="AH19" s="641" t="str">
        <f t="shared" si="5"/>
        <v/>
      </c>
      <c r="AI19" s="642">
        <f t="shared" si="5"/>
        <v>7.75</v>
      </c>
      <c r="AJ19" s="640">
        <f t="shared" si="5"/>
        <v>7.75</v>
      </c>
      <c r="AK19" s="640">
        <f t="shared" si="5"/>
        <v>7.75</v>
      </c>
      <c r="AL19" s="643">
        <f>SUM(G19:AH19)</f>
        <v>128.75</v>
      </c>
      <c r="AM19" s="644">
        <f>AL19/4</f>
        <v>32.1875</v>
      </c>
      <c r="AN19" s="645" t="str">
        <f>IF(C18="","",C18)</f>
        <v/>
      </c>
      <c r="AO19" s="646" t="str">
        <f>IF(D18="","",D18)</f>
        <v/>
      </c>
      <c r="AP19" s="647" t="str">
        <f>IF(D18&lt;&gt;"",VLOOKUP(D18,$AU$2:$AV$6,2,FALSE),"")</f>
        <v/>
      </c>
      <c r="AQ19" s="644">
        <f>ROUNDDOWN(AL19/$AL$6,2)</f>
        <v>0.83</v>
      </c>
      <c r="AR19" s="644">
        <f>IF(AP19=1,"",AQ19)</f>
        <v>0.83</v>
      </c>
    </row>
    <row r="20" spans="1:44" ht="15.9" customHeight="1">
      <c r="A20" s="582"/>
      <c r="B20" s="1655" t="s">
        <v>1239</v>
      </c>
      <c r="C20" s="1640"/>
      <c r="D20" s="1642"/>
      <c r="E20" s="1644"/>
      <c r="F20" s="627" t="s">
        <v>1233</v>
      </c>
      <c r="G20" s="628"/>
      <c r="H20" s="629"/>
      <c r="I20" s="630"/>
      <c r="J20" s="630"/>
      <c r="K20" s="630"/>
      <c r="L20" s="630" t="s">
        <v>1384</v>
      </c>
      <c r="M20" s="631" t="s">
        <v>1389</v>
      </c>
      <c r="N20" s="628"/>
      <c r="O20" s="629" t="s">
        <v>479</v>
      </c>
      <c r="P20" s="630" t="s">
        <v>479</v>
      </c>
      <c r="Q20" s="630" t="s">
        <v>479</v>
      </c>
      <c r="R20" s="630"/>
      <c r="S20" s="630" t="s">
        <v>1384</v>
      </c>
      <c r="T20" s="631" t="s">
        <v>1389</v>
      </c>
      <c r="U20" s="628"/>
      <c r="V20" s="629" t="s">
        <v>479</v>
      </c>
      <c r="W20" s="630" t="s">
        <v>479</v>
      </c>
      <c r="X20" s="630" t="s">
        <v>479</v>
      </c>
      <c r="Y20" s="630"/>
      <c r="Z20" s="630" t="s">
        <v>1384</v>
      </c>
      <c r="AA20" s="631" t="s">
        <v>1389</v>
      </c>
      <c r="AB20" s="628"/>
      <c r="AC20" s="629" t="s">
        <v>479</v>
      </c>
      <c r="AD20" s="630" t="s">
        <v>479</v>
      </c>
      <c r="AE20" s="630" t="s">
        <v>479</v>
      </c>
      <c r="AF20" s="630"/>
      <c r="AG20" s="630" t="s">
        <v>1384</v>
      </c>
      <c r="AH20" s="631" t="s">
        <v>1389</v>
      </c>
      <c r="AI20" s="632"/>
      <c r="AJ20" s="630" t="s">
        <v>479</v>
      </c>
      <c r="AK20" s="630" t="s">
        <v>479</v>
      </c>
      <c r="AL20" s="633">
        <f>SUM(G21:AK21)</f>
        <v>144.25</v>
      </c>
      <c r="AM20" s="634"/>
      <c r="AN20" s="635"/>
      <c r="AO20" s="636"/>
      <c r="AP20" s="634"/>
      <c r="AQ20" s="637"/>
      <c r="AR20" s="637"/>
    </row>
    <row r="21" spans="1:44" ht="15.9" customHeight="1">
      <c r="A21" s="582"/>
      <c r="B21" s="1655"/>
      <c r="C21" s="1656"/>
      <c r="D21" s="1657"/>
      <c r="E21" s="1658"/>
      <c r="F21" s="638" t="s">
        <v>1234</v>
      </c>
      <c r="G21" s="639" t="str">
        <f t="shared" ref="G21:AK21" si="6">IF(G20&lt;&gt;"",VLOOKUP(G20,$AC$197:$AL$221,9,FALSE),"")</f>
        <v/>
      </c>
      <c r="H21" s="640" t="str">
        <f t="shared" si="6"/>
        <v/>
      </c>
      <c r="I21" s="640" t="str">
        <f t="shared" si="6"/>
        <v/>
      </c>
      <c r="J21" s="640" t="str">
        <f t="shared" si="6"/>
        <v/>
      </c>
      <c r="K21" s="640" t="str">
        <f t="shared" si="6"/>
        <v/>
      </c>
      <c r="L21" s="640">
        <f t="shared" si="6"/>
        <v>7.5</v>
      </c>
      <c r="M21" s="641">
        <f t="shared" si="6"/>
        <v>7.25</v>
      </c>
      <c r="N21" s="639" t="str">
        <f t="shared" si="6"/>
        <v/>
      </c>
      <c r="O21" s="640">
        <f t="shared" si="6"/>
        <v>7.75</v>
      </c>
      <c r="P21" s="640">
        <f t="shared" si="6"/>
        <v>7.75</v>
      </c>
      <c r="Q21" s="640">
        <f t="shared" si="6"/>
        <v>7.75</v>
      </c>
      <c r="R21" s="640" t="str">
        <f t="shared" si="6"/>
        <v/>
      </c>
      <c r="S21" s="640">
        <f t="shared" si="6"/>
        <v>7.5</v>
      </c>
      <c r="T21" s="641">
        <f t="shared" si="6"/>
        <v>7.25</v>
      </c>
      <c r="U21" s="639" t="str">
        <f t="shared" si="6"/>
        <v/>
      </c>
      <c r="V21" s="640">
        <f t="shared" si="6"/>
        <v>7.75</v>
      </c>
      <c r="W21" s="640">
        <f t="shared" si="6"/>
        <v>7.75</v>
      </c>
      <c r="X21" s="640">
        <f t="shared" si="6"/>
        <v>7.75</v>
      </c>
      <c r="Y21" s="640" t="str">
        <f t="shared" si="6"/>
        <v/>
      </c>
      <c r="Z21" s="640">
        <f t="shared" si="6"/>
        <v>7.5</v>
      </c>
      <c r="AA21" s="641">
        <f t="shared" si="6"/>
        <v>7.25</v>
      </c>
      <c r="AB21" s="639" t="str">
        <f t="shared" si="6"/>
        <v/>
      </c>
      <c r="AC21" s="640">
        <f t="shared" si="6"/>
        <v>7.75</v>
      </c>
      <c r="AD21" s="640">
        <f t="shared" si="6"/>
        <v>7.75</v>
      </c>
      <c r="AE21" s="640">
        <f t="shared" si="6"/>
        <v>7.75</v>
      </c>
      <c r="AF21" s="640" t="str">
        <f t="shared" si="6"/>
        <v/>
      </c>
      <c r="AG21" s="640">
        <f t="shared" si="6"/>
        <v>7.5</v>
      </c>
      <c r="AH21" s="641">
        <f t="shared" si="6"/>
        <v>7.25</v>
      </c>
      <c r="AI21" s="642" t="str">
        <f t="shared" si="6"/>
        <v/>
      </c>
      <c r="AJ21" s="640">
        <f t="shared" si="6"/>
        <v>7.75</v>
      </c>
      <c r="AK21" s="640">
        <f t="shared" si="6"/>
        <v>7.75</v>
      </c>
      <c r="AL21" s="643">
        <f>SUM(G21:AH21)</f>
        <v>128.75</v>
      </c>
      <c r="AM21" s="644">
        <f>AL21/4</f>
        <v>32.1875</v>
      </c>
      <c r="AN21" s="645" t="str">
        <f>IF(C20="","",C20)</f>
        <v/>
      </c>
      <c r="AO21" s="646" t="str">
        <f>IF(D20="","",D20)</f>
        <v/>
      </c>
      <c r="AP21" s="647" t="str">
        <f>IF(D20&lt;&gt;"",VLOOKUP(D20,$AU$2:$AV$6,2,FALSE),"")</f>
        <v/>
      </c>
      <c r="AQ21" s="644">
        <f>ROUNDDOWN(AL21/$AL$6,2)</f>
        <v>0.83</v>
      </c>
      <c r="AR21" s="644">
        <f>IF(AP21=1,"",AQ21)</f>
        <v>0.83</v>
      </c>
    </row>
    <row r="22" spans="1:44" ht="15.9" customHeight="1">
      <c r="A22" s="582"/>
      <c r="B22" s="1655" t="s">
        <v>1240</v>
      </c>
      <c r="C22" s="1640"/>
      <c r="D22" s="1642"/>
      <c r="E22" s="1644"/>
      <c r="F22" s="627" t="s">
        <v>1233</v>
      </c>
      <c r="G22" s="628"/>
      <c r="H22" s="629"/>
      <c r="I22" s="630"/>
      <c r="J22" s="630"/>
      <c r="K22" s="630"/>
      <c r="L22" s="630"/>
      <c r="M22" s="631" t="s">
        <v>1384</v>
      </c>
      <c r="N22" s="628" t="s">
        <v>1389</v>
      </c>
      <c r="O22" s="629"/>
      <c r="P22" s="630" t="s">
        <v>479</v>
      </c>
      <c r="Q22" s="630" t="s">
        <v>479</v>
      </c>
      <c r="R22" s="630" t="s">
        <v>479</v>
      </c>
      <c r="S22" s="630"/>
      <c r="T22" s="631" t="s">
        <v>1384</v>
      </c>
      <c r="U22" s="628" t="s">
        <v>1389</v>
      </c>
      <c r="V22" s="629"/>
      <c r="W22" s="630" t="s">
        <v>479</v>
      </c>
      <c r="X22" s="630" t="s">
        <v>479</v>
      </c>
      <c r="Y22" s="630" t="s">
        <v>479</v>
      </c>
      <c r="Z22" s="630"/>
      <c r="AA22" s="631" t="s">
        <v>1384</v>
      </c>
      <c r="AB22" s="628" t="s">
        <v>1389</v>
      </c>
      <c r="AC22" s="629"/>
      <c r="AD22" s="630" t="s">
        <v>479</v>
      </c>
      <c r="AE22" s="630" t="s">
        <v>479</v>
      </c>
      <c r="AF22" s="630" t="s">
        <v>479</v>
      </c>
      <c r="AG22" s="630"/>
      <c r="AH22" s="631" t="s">
        <v>1384</v>
      </c>
      <c r="AI22" s="648" t="s">
        <v>1389</v>
      </c>
      <c r="AJ22" s="629"/>
      <c r="AK22" s="629" t="s">
        <v>479</v>
      </c>
      <c r="AL22" s="633">
        <f>SUM(G23:AK23)</f>
        <v>136.5</v>
      </c>
      <c r="AM22" s="634"/>
      <c r="AN22" s="635"/>
      <c r="AO22" s="636"/>
      <c r="AP22" s="634"/>
      <c r="AQ22" s="637"/>
      <c r="AR22" s="637"/>
    </row>
    <row r="23" spans="1:44" ht="15.9" customHeight="1">
      <c r="A23" s="582"/>
      <c r="B23" s="1655"/>
      <c r="C23" s="1656"/>
      <c r="D23" s="1657"/>
      <c r="E23" s="1658"/>
      <c r="F23" s="638" t="s">
        <v>1234</v>
      </c>
      <c r="G23" s="639" t="str">
        <f t="shared" ref="G23:AK23" si="7">IF(G22&lt;&gt;"",VLOOKUP(G22,$AC$197:$AL$221,9,FALSE),"")</f>
        <v/>
      </c>
      <c r="H23" s="640" t="str">
        <f t="shared" si="7"/>
        <v/>
      </c>
      <c r="I23" s="640" t="str">
        <f t="shared" si="7"/>
        <v/>
      </c>
      <c r="J23" s="640" t="str">
        <f t="shared" si="7"/>
        <v/>
      </c>
      <c r="K23" s="640" t="str">
        <f t="shared" si="7"/>
        <v/>
      </c>
      <c r="L23" s="640" t="str">
        <f t="shared" si="7"/>
        <v/>
      </c>
      <c r="M23" s="641">
        <f t="shared" si="7"/>
        <v>7.5</v>
      </c>
      <c r="N23" s="639">
        <f t="shared" si="7"/>
        <v>7.25</v>
      </c>
      <c r="O23" s="640" t="str">
        <f t="shared" si="7"/>
        <v/>
      </c>
      <c r="P23" s="640">
        <f t="shared" si="7"/>
        <v>7.75</v>
      </c>
      <c r="Q23" s="640">
        <f t="shared" si="7"/>
        <v>7.75</v>
      </c>
      <c r="R23" s="640">
        <f t="shared" si="7"/>
        <v>7.75</v>
      </c>
      <c r="S23" s="640" t="str">
        <f t="shared" si="7"/>
        <v/>
      </c>
      <c r="T23" s="641">
        <f t="shared" si="7"/>
        <v>7.5</v>
      </c>
      <c r="U23" s="639">
        <f t="shared" si="7"/>
        <v>7.25</v>
      </c>
      <c r="V23" s="640" t="str">
        <f t="shared" si="7"/>
        <v/>
      </c>
      <c r="W23" s="640">
        <f t="shared" si="7"/>
        <v>7.75</v>
      </c>
      <c r="X23" s="640">
        <f t="shared" si="7"/>
        <v>7.75</v>
      </c>
      <c r="Y23" s="640">
        <f t="shared" si="7"/>
        <v>7.75</v>
      </c>
      <c r="Z23" s="640" t="str">
        <f t="shared" si="7"/>
        <v/>
      </c>
      <c r="AA23" s="641">
        <f t="shared" si="7"/>
        <v>7.5</v>
      </c>
      <c r="AB23" s="639">
        <f t="shared" si="7"/>
        <v>7.25</v>
      </c>
      <c r="AC23" s="640" t="str">
        <f t="shared" si="7"/>
        <v/>
      </c>
      <c r="AD23" s="640">
        <f t="shared" si="7"/>
        <v>7.75</v>
      </c>
      <c r="AE23" s="640">
        <f t="shared" si="7"/>
        <v>7.75</v>
      </c>
      <c r="AF23" s="640">
        <f t="shared" si="7"/>
        <v>7.75</v>
      </c>
      <c r="AG23" s="640" t="str">
        <f t="shared" si="7"/>
        <v/>
      </c>
      <c r="AH23" s="641">
        <f t="shared" si="7"/>
        <v>7.5</v>
      </c>
      <c r="AI23" s="642">
        <f t="shared" si="7"/>
        <v>7.25</v>
      </c>
      <c r="AJ23" s="640" t="str">
        <f t="shared" si="7"/>
        <v/>
      </c>
      <c r="AK23" s="640">
        <f t="shared" si="7"/>
        <v>7.75</v>
      </c>
      <c r="AL23" s="643">
        <f>SUM(G23:AH23)</f>
        <v>121.5</v>
      </c>
      <c r="AM23" s="644">
        <f>AL23/4</f>
        <v>30.375</v>
      </c>
      <c r="AN23" s="645" t="str">
        <f>IF(C22="","",C22)</f>
        <v/>
      </c>
      <c r="AO23" s="646" t="str">
        <f>IF(D22="","",D22)</f>
        <v/>
      </c>
      <c r="AP23" s="647" t="str">
        <f>IF(D22&lt;&gt;"",VLOOKUP(D22,$AU$2:$AV$6,2,FALSE),"")</f>
        <v/>
      </c>
      <c r="AQ23" s="644">
        <f>ROUNDDOWN(AL23/$AL$6,2)</f>
        <v>0.78</v>
      </c>
      <c r="AR23" s="644">
        <f>IF(AP23=1,"",AQ23)</f>
        <v>0.78</v>
      </c>
    </row>
    <row r="24" spans="1:44" ht="15.9" customHeight="1">
      <c r="A24" s="582"/>
      <c r="B24" s="1655" t="s">
        <v>1241</v>
      </c>
      <c r="C24" s="1640"/>
      <c r="D24" s="1642"/>
      <c r="E24" s="1644"/>
      <c r="F24" s="627" t="s">
        <v>1233</v>
      </c>
      <c r="G24" s="628"/>
      <c r="H24" s="629"/>
      <c r="I24" s="630"/>
      <c r="J24" s="630"/>
      <c r="K24" s="630"/>
      <c r="L24" s="630"/>
      <c r="M24" s="631"/>
      <c r="N24" s="628"/>
      <c r="O24" s="629"/>
      <c r="P24" s="630"/>
      <c r="Q24" s="630"/>
      <c r="R24" s="630"/>
      <c r="S24" s="630"/>
      <c r="T24" s="631"/>
      <c r="U24" s="628"/>
      <c r="V24" s="629"/>
      <c r="W24" s="630"/>
      <c r="X24" s="630"/>
      <c r="Y24" s="630"/>
      <c r="Z24" s="630"/>
      <c r="AA24" s="631"/>
      <c r="AB24" s="628"/>
      <c r="AC24" s="629"/>
      <c r="AD24" s="630"/>
      <c r="AE24" s="630"/>
      <c r="AF24" s="630"/>
      <c r="AG24" s="630"/>
      <c r="AH24" s="631"/>
      <c r="AI24" s="648"/>
      <c r="AJ24" s="629"/>
      <c r="AK24" s="629"/>
      <c r="AL24" s="633">
        <f>SUM(G25:AK25)</f>
        <v>0</v>
      </c>
      <c r="AM24" s="634"/>
      <c r="AN24" s="635"/>
      <c r="AO24" s="636"/>
      <c r="AP24" s="634"/>
      <c r="AQ24" s="637"/>
      <c r="AR24" s="637"/>
    </row>
    <row r="25" spans="1:44" ht="15.9" customHeight="1">
      <c r="A25" s="582"/>
      <c r="B25" s="1655"/>
      <c r="C25" s="1656"/>
      <c r="D25" s="1657"/>
      <c r="E25" s="1658"/>
      <c r="F25" s="638" t="s">
        <v>1234</v>
      </c>
      <c r="G25" s="639" t="str">
        <f t="shared" ref="G25:AK25" si="8">IF(G24&lt;&gt;"",VLOOKUP(G24,$AC$197:$AL$221,9,FALSE),"")</f>
        <v/>
      </c>
      <c r="H25" s="640" t="str">
        <f t="shared" si="8"/>
        <v/>
      </c>
      <c r="I25" s="640" t="str">
        <f t="shared" si="8"/>
        <v/>
      </c>
      <c r="J25" s="640" t="str">
        <f t="shared" si="8"/>
        <v/>
      </c>
      <c r="K25" s="640" t="str">
        <f t="shared" si="8"/>
        <v/>
      </c>
      <c r="L25" s="640" t="str">
        <f t="shared" si="8"/>
        <v/>
      </c>
      <c r="M25" s="641" t="str">
        <f t="shared" si="8"/>
        <v/>
      </c>
      <c r="N25" s="639" t="str">
        <f t="shared" si="8"/>
        <v/>
      </c>
      <c r="O25" s="640" t="str">
        <f t="shared" si="8"/>
        <v/>
      </c>
      <c r="P25" s="640" t="str">
        <f t="shared" si="8"/>
        <v/>
      </c>
      <c r="Q25" s="640" t="str">
        <f t="shared" si="8"/>
        <v/>
      </c>
      <c r="R25" s="640" t="str">
        <f t="shared" si="8"/>
        <v/>
      </c>
      <c r="S25" s="640" t="str">
        <f t="shared" si="8"/>
        <v/>
      </c>
      <c r="T25" s="641" t="str">
        <f t="shared" si="8"/>
        <v/>
      </c>
      <c r="U25" s="639" t="str">
        <f t="shared" si="8"/>
        <v/>
      </c>
      <c r="V25" s="640" t="str">
        <f t="shared" si="8"/>
        <v/>
      </c>
      <c r="W25" s="640" t="str">
        <f t="shared" si="8"/>
        <v/>
      </c>
      <c r="X25" s="640" t="str">
        <f t="shared" si="8"/>
        <v/>
      </c>
      <c r="Y25" s="640" t="str">
        <f t="shared" si="8"/>
        <v/>
      </c>
      <c r="Z25" s="640" t="str">
        <f t="shared" si="8"/>
        <v/>
      </c>
      <c r="AA25" s="641" t="str">
        <f t="shared" si="8"/>
        <v/>
      </c>
      <c r="AB25" s="639" t="str">
        <f t="shared" si="8"/>
        <v/>
      </c>
      <c r="AC25" s="640" t="str">
        <f t="shared" si="8"/>
        <v/>
      </c>
      <c r="AD25" s="640" t="str">
        <f t="shared" si="8"/>
        <v/>
      </c>
      <c r="AE25" s="640" t="str">
        <f t="shared" si="8"/>
        <v/>
      </c>
      <c r="AF25" s="640" t="str">
        <f t="shared" si="8"/>
        <v/>
      </c>
      <c r="AG25" s="640" t="str">
        <f t="shared" si="8"/>
        <v/>
      </c>
      <c r="AH25" s="641" t="str">
        <f t="shared" si="8"/>
        <v/>
      </c>
      <c r="AI25" s="642" t="str">
        <f t="shared" si="8"/>
        <v/>
      </c>
      <c r="AJ25" s="640" t="str">
        <f t="shared" si="8"/>
        <v/>
      </c>
      <c r="AK25" s="640" t="str">
        <f t="shared" si="8"/>
        <v/>
      </c>
      <c r="AL25" s="643">
        <f>SUM(G25:AH25)</f>
        <v>0</v>
      </c>
      <c r="AM25" s="644">
        <f>AL25/4</f>
        <v>0</v>
      </c>
      <c r="AN25" s="645" t="str">
        <f>IF(C24="","",C24)</f>
        <v/>
      </c>
      <c r="AO25" s="646" t="str">
        <f>IF(D24="","",D24)</f>
        <v/>
      </c>
      <c r="AP25" s="647" t="str">
        <f>IF(D24&lt;&gt;"",VLOOKUP(D24,$AU$2:$AV$6,2,FALSE),"")</f>
        <v/>
      </c>
      <c r="AQ25" s="644">
        <f>ROUNDDOWN(AL25/$AL$6,2)</f>
        <v>0</v>
      </c>
      <c r="AR25" s="644">
        <f>IF(AP25=1,"",AQ25)</f>
        <v>0</v>
      </c>
    </row>
    <row r="26" spans="1:44" ht="15.9" customHeight="1">
      <c r="A26" s="582"/>
      <c r="B26" s="1655" t="s">
        <v>1242</v>
      </c>
      <c r="C26" s="1640"/>
      <c r="D26" s="1642"/>
      <c r="E26" s="1644"/>
      <c r="F26" s="627" t="s">
        <v>1233</v>
      </c>
      <c r="G26" s="628"/>
      <c r="H26" s="629"/>
      <c r="I26" s="630"/>
      <c r="J26" s="630"/>
      <c r="K26" s="630"/>
      <c r="L26" s="630"/>
      <c r="M26" s="631"/>
      <c r="N26" s="628"/>
      <c r="O26" s="629"/>
      <c r="P26" s="630"/>
      <c r="Q26" s="630"/>
      <c r="R26" s="630"/>
      <c r="S26" s="630"/>
      <c r="T26" s="631"/>
      <c r="U26" s="628"/>
      <c r="V26" s="629"/>
      <c r="W26" s="630"/>
      <c r="X26" s="630"/>
      <c r="Y26" s="630"/>
      <c r="Z26" s="630"/>
      <c r="AA26" s="631"/>
      <c r="AB26" s="628"/>
      <c r="AC26" s="629"/>
      <c r="AD26" s="630"/>
      <c r="AE26" s="630"/>
      <c r="AF26" s="630"/>
      <c r="AG26" s="630"/>
      <c r="AH26" s="631"/>
      <c r="AI26" s="632"/>
      <c r="AJ26" s="630"/>
      <c r="AK26" s="630"/>
      <c r="AL26" s="633">
        <f>SUM(G27:AK27)</f>
        <v>0</v>
      </c>
      <c r="AM26" s="634"/>
      <c r="AN26" s="635"/>
      <c r="AO26" s="636"/>
      <c r="AP26" s="634"/>
      <c r="AQ26" s="637"/>
      <c r="AR26" s="637"/>
    </row>
    <row r="27" spans="1:44" ht="15.9" customHeight="1">
      <c r="A27" s="582"/>
      <c r="B27" s="1655"/>
      <c r="C27" s="1656"/>
      <c r="D27" s="1657"/>
      <c r="E27" s="1658"/>
      <c r="F27" s="638" t="s">
        <v>1234</v>
      </c>
      <c r="G27" s="639" t="str">
        <f t="shared" ref="G27:AK27" si="9">IF(G26&lt;&gt;"",VLOOKUP(G26,$AC$197:$AL$221,9,FALSE),"")</f>
        <v/>
      </c>
      <c r="H27" s="640" t="str">
        <f t="shared" si="9"/>
        <v/>
      </c>
      <c r="I27" s="640" t="str">
        <f t="shared" si="9"/>
        <v/>
      </c>
      <c r="J27" s="640" t="str">
        <f t="shared" si="9"/>
        <v/>
      </c>
      <c r="K27" s="640" t="str">
        <f t="shared" si="9"/>
        <v/>
      </c>
      <c r="L27" s="640" t="str">
        <f t="shared" si="9"/>
        <v/>
      </c>
      <c r="M27" s="641" t="str">
        <f t="shared" si="9"/>
        <v/>
      </c>
      <c r="N27" s="639" t="str">
        <f t="shared" si="9"/>
        <v/>
      </c>
      <c r="O27" s="640" t="str">
        <f t="shared" si="9"/>
        <v/>
      </c>
      <c r="P27" s="640" t="str">
        <f t="shared" si="9"/>
        <v/>
      </c>
      <c r="Q27" s="640" t="str">
        <f t="shared" si="9"/>
        <v/>
      </c>
      <c r="R27" s="640" t="str">
        <f t="shared" si="9"/>
        <v/>
      </c>
      <c r="S27" s="640" t="str">
        <f t="shared" si="9"/>
        <v/>
      </c>
      <c r="T27" s="641" t="str">
        <f t="shared" si="9"/>
        <v/>
      </c>
      <c r="U27" s="639" t="str">
        <f t="shared" si="9"/>
        <v/>
      </c>
      <c r="V27" s="640" t="str">
        <f t="shared" si="9"/>
        <v/>
      </c>
      <c r="W27" s="640" t="str">
        <f t="shared" si="9"/>
        <v/>
      </c>
      <c r="X27" s="640" t="str">
        <f t="shared" si="9"/>
        <v/>
      </c>
      <c r="Y27" s="640" t="str">
        <f t="shared" si="9"/>
        <v/>
      </c>
      <c r="Z27" s="640" t="str">
        <f t="shared" si="9"/>
        <v/>
      </c>
      <c r="AA27" s="641" t="str">
        <f t="shared" si="9"/>
        <v/>
      </c>
      <c r="AB27" s="639" t="str">
        <f t="shared" si="9"/>
        <v/>
      </c>
      <c r="AC27" s="640" t="str">
        <f t="shared" si="9"/>
        <v/>
      </c>
      <c r="AD27" s="640" t="str">
        <f t="shared" si="9"/>
        <v/>
      </c>
      <c r="AE27" s="640" t="str">
        <f t="shared" si="9"/>
        <v/>
      </c>
      <c r="AF27" s="640" t="str">
        <f t="shared" si="9"/>
        <v/>
      </c>
      <c r="AG27" s="640" t="str">
        <f t="shared" si="9"/>
        <v/>
      </c>
      <c r="AH27" s="641" t="str">
        <f t="shared" si="9"/>
        <v/>
      </c>
      <c r="AI27" s="642" t="str">
        <f t="shared" si="9"/>
        <v/>
      </c>
      <c r="AJ27" s="640" t="str">
        <f t="shared" si="9"/>
        <v/>
      </c>
      <c r="AK27" s="640" t="str">
        <f t="shared" si="9"/>
        <v/>
      </c>
      <c r="AL27" s="643">
        <f>SUM(G27:AH27)</f>
        <v>0</v>
      </c>
      <c r="AM27" s="644">
        <f>AL27/4</f>
        <v>0</v>
      </c>
      <c r="AN27" s="645" t="str">
        <f>IF(C26="","",C26)</f>
        <v/>
      </c>
      <c r="AO27" s="646" t="str">
        <f>IF(D26="","",D26)</f>
        <v/>
      </c>
      <c r="AP27" s="647" t="str">
        <f>IF(D26&lt;&gt;"",VLOOKUP(D26,$AU$2:$AV$6,2,FALSE),"")</f>
        <v/>
      </c>
      <c r="AQ27" s="644">
        <f>ROUNDDOWN(AL27/$AL$6,2)</f>
        <v>0</v>
      </c>
      <c r="AR27" s="644">
        <f>IF(AP27=1,"",AQ27)</f>
        <v>0</v>
      </c>
    </row>
    <row r="28" spans="1:44" ht="15.9" customHeight="1">
      <c r="A28" s="582"/>
      <c r="B28" s="1655" t="s">
        <v>1243</v>
      </c>
      <c r="C28" s="1640"/>
      <c r="D28" s="1642"/>
      <c r="E28" s="1644"/>
      <c r="F28" s="627" t="s">
        <v>1233</v>
      </c>
      <c r="G28" s="628"/>
      <c r="H28" s="629"/>
      <c r="I28" s="630"/>
      <c r="J28" s="630"/>
      <c r="K28" s="630"/>
      <c r="L28" s="630"/>
      <c r="M28" s="631"/>
      <c r="N28" s="628"/>
      <c r="O28" s="629"/>
      <c r="P28" s="630"/>
      <c r="Q28" s="630"/>
      <c r="R28" s="630"/>
      <c r="S28" s="630"/>
      <c r="T28" s="631"/>
      <c r="U28" s="628"/>
      <c r="V28" s="629"/>
      <c r="W28" s="630"/>
      <c r="X28" s="630"/>
      <c r="Y28" s="630"/>
      <c r="Z28" s="630"/>
      <c r="AA28" s="631"/>
      <c r="AB28" s="628"/>
      <c r="AC28" s="629"/>
      <c r="AD28" s="630"/>
      <c r="AE28" s="630"/>
      <c r="AF28" s="630"/>
      <c r="AG28" s="630"/>
      <c r="AH28" s="631"/>
      <c r="AI28" s="632"/>
      <c r="AJ28" s="630"/>
      <c r="AK28" s="630"/>
      <c r="AL28" s="633">
        <f>SUM(G29:AK29)</f>
        <v>0</v>
      </c>
      <c r="AM28" s="634"/>
      <c r="AN28" s="635"/>
      <c r="AO28" s="636"/>
      <c r="AP28" s="634"/>
      <c r="AQ28" s="637"/>
      <c r="AR28" s="637"/>
    </row>
    <row r="29" spans="1:44" ht="15.9" customHeight="1">
      <c r="A29" s="582"/>
      <c r="B29" s="1655"/>
      <c r="C29" s="1656"/>
      <c r="D29" s="1657"/>
      <c r="E29" s="1658"/>
      <c r="F29" s="638" t="s">
        <v>1234</v>
      </c>
      <c r="G29" s="639" t="str">
        <f t="shared" ref="G29:AK29" si="10">IF(G28&lt;&gt;"",VLOOKUP(G28,$AC$197:$AL$221,9,FALSE),"")</f>
        <v/>
      </c>
      <c r="H29" s="640" t="str">
        <f t="shared" si="10"/>
        <v/>
      </c>
      <c r="I29" s="640" t="str">
        <f t="shared" si="10"/>
        <v/>
      </c>
      <c r="J29" s="640" t="str">
        <f t="shared" si="10"/>
        <v/>
      </c>
      <c r="K29" s="640" t="str">
        <f t="shared" si="10"/>
        <v/>
      </c>
      <c r="L29" s="640" t="str">
        <f t="shared" si="10"/>
        <v/>
      </c>
      <c r="M29" s="641" t="str">
        <f t="shared" si="10"/>
        <v/>
      </c>
      <c r="N29" s="639" t="str">
        <f t="shared" si="10"/>
        <v/>
      </c>
      <c r="O29" s="640" t="str">
        <f t="shared" si="10"/>
        <v/>
      </c>
      <c r="P29" s="640" t="str">
        <f t="shared" si="10"/>
        <v/>
      </c>
      <c r="Q29" s="640" t="str">
        <f t="shared" si="10"/>
        <v/>
      </c>
      <c r="R29" s="640" t="str">
        <f t="shared" si="10"/>
        <v/>
      </c>
      <c r="S29" s="640" t="str">
        <f t="shared" si="10"/>
        <v/>
      </c>
      <c r="T29" s="641" t="str">
        <f t="shared" si="10"/>
        <v/>
      </c>
      <c r="U29" s="639" t="str">
        <f t="shared" si="10"/>
        <v/>
      </c>
      <c r="V29" s="640" t="str">
        <f t="shared" si="10"/>
        <v/>
      </c>
      <c r="W29" s="640" t="str">
        <f t="shared" si="10"/>
        <v/>
      </c>
      <c r="X29" s="640" t="str">
        <f t="shared" si="10"/>
        <v/>
      </c>
      <c r="Y29" s="640" t="str">
        <f t="shared" si="10"/>
        <v/>
      </c>
      <c r="Z29" s="640" t="str">
        <f t="shared" si="10"/>
        <v/>
      </c>
      <c r="AA29" s="641" t="str">
        <f t="shared" si="10"/>
        <v/>
      </c>
      <c r="AB29" s="639" t="str">
        <f t="shared" si="10"/>
        <v/>
      </c>
      <c r="AC29" s="640" t="str">
        <f t="shared" si="10"/>
        <v/>
      </c>
      <c r="AD29" s="640" t="str">
        <f t="shared" si="10"/>
        <v/>
      </c>
      <c r="AE29" s="640" t="str">
        <f t="shared" si="10"/>
        <v/>
      </c>
      <c r="AF29" s="640" t="str">
        <f t="shared" si="10"/>
        <v/>
      </c>
      <c r="AG29" s="640" t="str">
        <f t="shared" si="10"/>
        <v/>
      </c>
      <c r="AH29" s="641" t="str">
        <f t="shared" si="10"/>
        <v/>
      </c>
      <c r="AI29" s="642" t="str">
        <f t="shared" si="10"/>
        <v/>
      </c>
      <c r="AJ29" s="640" t="str">
        <f t="shared" si="10"/>
        <v/>
      </c>
      <c r="AK29" s="640" t="str">
        <f t="shared" si="10"/>
        <v/>
      </c>
      <c r="AL29" s="643">
        <f>SUM(G29:AH29)</f>
        <v>0</v>
      </c>
      <c r="AM29" s="644">
        <f>AL29/4</f>
        <v>0</v>
      </c>
      <c r="AN29" s="645" t="str">
        <f>IF(C28="","",C28)</f>
        <v/>
      </c>
      <c r="AO29" s="646" t="str">
        <f>IF(D28="","",D28)</f>
        <v/>
      </c>
      <c r="AP29" s="647" t="str">
        <f>IF(D28&lt;&gt;"",VLOOKUP(D28,$AU$2:$AV$6,2,FALSE),"")</f>
        <v/>
      </c>
      <c r="AQ29" s="644">
        <f>ROUNDDOWN(AL29/$AL$6,2)</f>
        <v>0</v>
      </c>
      <c r="AR29" s="644">
        <f>IF(AP29=1,"",AQ29)</f>
        <v>0</v>
      </c>
    </row>
    <row r="30" spans="1:44" ht="15.9" customHeight="1">
      <c r="A30" s="582"/>
      <c r="B30" s="1655" t="s">
        <v>1244</v>
      </c>
      <c r="C30" s="1640"/>
      <c r="D30" s="1642"/>
      <c r="E30" s="1644"/>
      <c r="F30" s="627" t="s">
        <v>1233</v>
      </c>
      <c r="G30" s="628"/>
      <c r="H30" s="629"/>
      <c r="I30" s="630"/>
      <c r="J30" s="630"/>
      <c r="K30" s="630"/>
      <c r="L30" s="630"/>
      <c r="M30" s="631"/>
      <c r="N30" s="628"/>
      <c r="O30" s="629"/>
      <c r="P30" s="630"/>
      <c r="Q30" s="630"/>
      <c r="R30" s="630"/>
      <c r="S30" s="630"/>
      <c r="T30" s="631"/>
      <c r="U30" s="628"/>
      <c r="V30" s="629"/>
      <c r="W30" s="630"/>
      <c r="X30" s="630"/>
      <c r="Y30" s="630"/>
      <c r="Z30" s="630"/>
      <c r="AA30" s="631"/>
      <c r="AB30" s="628"/>
      <c r="AC30" s="629"/>
      <c r="AD30" s="630"/>
      <c r="AE30" s="630"/>
      <c r="AF30" s="630"/>
      <c r="AG30" s="630"/>
      <c r="AH30" s="631"/>
      <c r="AI30" s="648"/>
      <c r="AJ30" s="629"/>
      <c r="AK30" s="629"/>
      <c r="AL30" s="633">
        <f>SUM(G31:AK31)</f>
        <v>0</v>
      </c>
      <c r="AM30" s="634"/>
      <c r="AN30" s="635"/>
      <c r="AO30" s="636"/>
      <c r="AP30" s="634"/>
      <c r="AQ30" s="637"/>
      <c r="AR30" s="637"/>
    </row>
    <row r="31" spans="1:44" ht="15.9" customHeight="1">
      <c r="A31" s="582"/>
      <c r="B31" s="1655"/>
      <c r="C31" s="1656"/>
      <c r="D31" s="1657"/>
      <c r="E31" s="1658"/>
      <c r="F31" s="638" t="s">
        <v>1234</v>
      </c>
      <c r="G31" s="639" t="str">
        <f t="shared" ref="G31:AK31" si="11">IF(G30&lt;&gt;"",VLOOKUP(G30,$AC$197:$AL$221,9,FALSE),"")</f>
        <v/>
      </c>
      <c r="H31" s="640" t="str">
        <f t="shared" si="11"/>
        <v/>
      </c>
      <c r="I31" s="640" t="str">
        <f t="shared" si="11"/>
        <v/>
      </c>
      <c r="J31" s="640" t="str">
        <f t="shared" si="11"/>
        <v/>
      </c>
      <c r="K31" s="640" t="str">
        <f t="shared" si="11"/>
        <v/>
      </c>
      <c r="L31" s="640" t="str">
        <f t="shared" si="11"/>
        <v/>
      </c>
      <c r="M31" s="641" t="str">
        <f t="shared" si="11"/>
        <v/>
      </c>
      <c r="N31" s="639" t="str">
        <f t="shared" si="11"/>
        <v/>
      </c>
      <c r="O31" s="640" t="str">
        <f t="shared" si="11"/>
        <v/>
      </c>
      <c r="P31" s="640" t="str">
        <f t="shared" si="11"/>
        <v/>
      </c>
      <c r="Q31" s="640" t="str">
        <f t="shared" si="11"/>
        <v/>
      </c>
      <c r="R31" s="640" t="str">
        <f t="shared" si="11"/>
        <v/>
      </c>
      <c r="S31" s="640" t="str">
        <f t="shared" si="11"/>
        <v/>
      </c>
      <c r="T31" s="641" t="str">
        <f t="shared" si="11"/>
        <v/>
      </c>
      <c r="U31" s="639" t="str">
        <f t="shared" si="11"/>
        <v/>
      </c>
      <c r="V31" s="640" t="str">
        <f t="shared" si="11"/>
        <v/>
      </c>
      <c r="W31" s="640" t="str">
        <f t="shared" si="11"/>
        <v/>
      </c>
      <c r="X31" s="640" t="str">
        <f t="shared" si="11"/>
        <v/>
      </c>
      <c r="Y31" s="640" t="str">
        <f t="shared" si="11"/>
        <v/>
      </c>
      <c r="Z31" s="640" t="str">
        <f t="shared" si="11"/>
        <v/>
      </c>
      <c r="AA31" s="641" t="str">
        <f t="shared" si="11"/>
        <v/>
      </c>
      <c r="AB31" s="639" t="str">
        <f t="shared" si="11"/>
        <v/>
      </c>
      <c r="AC31" s="640" t="str">
        <f t="shared" si="11"/>
        <v/>
      </c>
      <c r="AD31" s="640" t="str">
        <f t="shared" si="11"/>
        <v/>
      </c>
      <c r="AE31" s="640" t="str">
        <f t="shared" si="11"/>
        <v/>
      </c>
      <c r="AF31" s="640" t="str">
        <f t="shared" si="11"/>
        <v/>
      </c>
      <c r="AG31" s="640" t="str">
        <f t="shared" si="11"/>
        <v/>
      </c>
      <c r="AH31" s="641" t="str">
        <f t="shared" si="11"/>
        <v/>
      </c>
      <c r="AI31" s="642" t="str">
        <f t="shared" si="11"/>
        <v/>
      </c>
      <c r="AJ31" s="640" t="str">
        <f t="shared" si="11"/>
        <v/>
      </c>
      <c r="AK31" s="640" t="str">
        <f t="shared" si="11"/>
        <v/>
      </c>
      <c r="AL31" s="643">
        <f>SUM(G31:AH31)</f>
        <v>0</v>
      </c>
      <c r="AM31" s="644">
        <f>AL31/4</f>
        <v>0</v>
      </c>
      <c r="AN31" s="645" t="str">
        <f>IF(C30="","",C30)</f>
        <v/>
      </c>
      <c r="AO31" s="646" t="str">
        <f>IF(D30="","",D30)</f>
        <v/>
      </c>
      <c r="AP31" s="647" t="str">
        <f>IF(D30&lt;&gt;"",VLOOKUP(D30,$AU$2:$AV$6,2,FALSE),"")</f>
        <v/>
      </c>
      <c r="AQ31" s="644">
        <f>ROUNDDOWN(AL31/$AL$6,2)</f>
        <v>0</v>
      </c>
      <c r="AR31" s="644">
        <f>IF(AP31=1,"",AQ31)</f>
        <v>0</v>
      </c>
    </row>
    <row r="32" spans="1:44" ht="15.9" customHeight="1">
      <c r="A32" s="582"/>
      <c r="B32" s="1655" t="s">
        <v>1245</v>
      </c>
      <c r="C32" s="1640"/>
      <c r="D32" s="1642"/>
      <c r="E32" s="1644"/>
      <c r="F32" s="627" t="s">
        <v>1233</v>
      </c>
      <c r="G32" s="628"/>
      <c r="H32" s="629"/>
      <c r="I32" s="630"/>
      <c r="J32" s="630"/>
      <c r="K32" s="630"/>
      <c r="L32" s="630"/>
      <c r="M32" s="631"/>
      <c r="N32" s="628"/>
      <c r="O32" s="629"/>
      <c r="P32" s="630"/>
      <c r="Q32" s="630"/>
      <c r="R32" s="630"/>
      <c r="S32" s="630"/>
      <c r="T32" s="631"/>
      <c r="U32" s="628"/>
      <c r="V32" s="629"/>
      <c r="W32" s="630"/>
      <c r="X32" s="630"/>
      <c r="Y32" s="630"/>
      <c r="Z32" s="630"/>
      <c r="AA32" s="631"/>
      <c r="AB32" s="628"/>
      <c r="AC32" s="629"/>
      <c r="AD32" s="630"/>
      <c r="AE32" s="630"/>
      <c r="AF32" s="630"/>
      <c r="AG32" s="630"/>
      <c r="AH32" s="631"/>
      <c r="AI32" s="648"/>
      <c r="AJ32" s="629"/>
      <c r="AK32" s="629"/>
      <c r="AL32" s="633">
        <f>SUM(G33:AK33)</f>
        <v>0</v>
      </c>
      <c r="AM32" s="634"/>
      <c r="AN32" s="635"/>
      <c r="AO32" s="636"/>
      <c r="AP32" s="634"/>
      <c r="AQ32" s="637"/>
      <c r="AR32" s="637"/>
    </row>
    <row r="33" spans="1:44" ht="15.9" customHeight="1">
      <c r="A33" s="582"/>
      <c r="B33" s="1655"/>
      <c r="C33" s="1656"/>
      <c r="D33" s="1657"/>
      <c r="E33" s="1658"/>
      <c r="F33" s="638" t="s">
        <v>1234</v>
      </c>
      <c r="G33" s="639" t="str">
        <f t="shared" ref="G33:AK33" si="12">IF(G32&lt;&gt;"",VLOOKUP(G32,$AC$197:$AL$221,9,FALSE),"")</f>
        <v/>
      </c>
      <c r="H33" s="640" t="str">
        <f t="shared" si="12"/>
        <v/>
      </c>
      <c r="I33" s="640" t="str">
        <f t="shared" si="12"/>
        <v/>
      </c>
      <c r="J33" s="640" t="str">
        <f t="shared" si="12"/>
        <v/>
      </c>
      <c r="K33" s="640" t="str">
        <f t="shared" si="12"/>
        <v/>
      </c>
      <c r="L33" s="640" t="str">
        <f t="shared" si="12"/>
        <v/>
      </c>
      <c r="M33" s="641" t="str">
        <f t="shared" si="12"/>
        <v/>
      </c>
      <c r="N33" s="639" t="str">
        <f t="shared" si="12"/>
        <v/>
      </c>
      <c r="O33" s="640" t="str">
        <f t="shared" si="12"/>
        <v/>
      </c>
      <c r="P33" s="640" t="str">
        <f t="shared" si="12"/>
        <v/>
      </c>
      <c r="Q33" s="640" t="str">
        <f t="shared" si="12"/>
        <v/>
      </c>
      <c r="R33" s="640" t="str">
        <f t="shared" si="12"/>
        <v/>
      </c>
      <c r="S33" s="640" t="str">
        <f t="shared" si="12"/>
        <v/>
      </c>
      <c r="T33" s="641" t="str">
        <f t="shared" si="12"/>
        <v/>
      </c>
      <c r="U33" s="639" t="str">
        <f t="shared" si="12"/>
        <v/>
      </c>
      <c r="V33" s="640" t="str">
        <f t="shared" si="12"/>
        <v/>
      </c>
      <c r="W33" s="640" t="str">
        <f t="shared" si="12"/>
        <v/>
      </c>
      <c r="X33" s="640" t="str">
        <f t="shared" si="12"/>
        <v/>
      </c>
      <c r="Y33" s="640" t="str">
        <f t="shared" si="12"/>
        <v/>
      </c>
      <c r="Z33" s="640" t="str">
        <f t="shared" si="12"/>
        <v/>
      </c>
      <c r="AA33" s="641" t="str">
        <f t="shared" si="12"/>
        <v/>
      </c>
      <c r="AB33" s="639" t="str">
        <f t="shared" si="12"/>
        <v/>
      </c>
      <c r="AC33" s="640" t="str">
        <f t="shared" si="12"/>
        <v/>
      </c>
      <c r="AD33" s="640" t="str">
        <f t="shared" si="12"/>
        <v/>
      </c>
      <c r="AE33" s="640" t="str">
        <f t="shared" si="12"/>
        <v/>
      </c>
      <c r="AF33" s="640" t="str">
        <f t="shared" si="12"/>
        <v/>
      </c>
      <c r="AG33" s="640" t="str">
        <f t="shared" si="12"/>
        <v/>
      </c>
      <c r="AH33" s="641" t="str">
        <f t="shared" si="12"/>
        <v/>
      </c>
      <c r="AI33" s="642" t="str">
        <f t="shared" si="12"/>
        <v/>
      </c>
      <c r="AJ33" s="640" t="str">
        <f t="shared" si="12"/>
        <v/>
      </c>
      <c r="AK33" s="640" t="str">
        <f t="shared" si="12"/>
        <v/>
      </c>
      <c r="AL33" s="643">
        <f>SUM(G33:AH33)</f>
        <v>0</v>
      </c>
      <c r="AM33" s="644">
        <f>AL33/4</f>
        <v>0</v>
      </c>
      <c r="AN33" s="645" t="str">
        <f>IF(C32="","",C32)</f>
        <v/>
      </c>
      <c r="AO33" s="646" t="str">
        <f>IF(D32="","",D32)</f>
        <v/>
      </c>
      <c r="AP33" s="647" t="str">
        <f>IF(D32&lt;&gt;"",VLOOKUP(D32,$AU$2:$AV$6,2,FALSE),"")</f>
        <v/>
      </c>
      <c r="AQ33" s="644">
        <f>ROUNDDOWN(AL33/$AL$6,2)</f>
        <v>0</v>
      </c>
      <c r="AR33" s="644">
        <f>IF(AP33=1,"",AQ33)</f>
        <v>0</v>
      </c>
    </row>
    <row r="34" spans="1:44" ht="15.9" customHeight="1">
      <c r="A34" s="582"/>
      <c r="B34" s="1655" t="s">
        <v>1246</v>
      </c>
      <c r="C34" s="1640"/>
      <c r="D34" s="1642"/>
      <c r="E34" s="1644"/>
      <c r="F34" s="627" t="s">
        <v>1233</v>
      </c>
      <c r="G34" s="628"/>
      <c r="H34" s="629"/>
      <c r="I34" s="630"/>
      <c r="J34" s="630"/>
      <c r="K34" s="630"/>
      <c r="L34" s="630"/>
      <c r="M34" s="631"/>
      <c r="N34" s="628"/>
      <c r="O34" s="629"/>
      <c r="P34" s="630"/>
      <c r="Q34" s="630"/>
      <c r="R34" s="630"/>
      <c r="S34" s="630"/>
      <c r="T34" s="631"/>
      <c r="U34" s="628"/>
      <c r="V34" s="629"/>
      <c r="W34" s="630"/>
      <c r="X34" s="630"/>
      <c r="Y34" s="630"/>
      <c r="Z34" s="630"/>
      <c r="AA34" s="631"/>
      <c r="AB34" s="628"/>
      <c r="AC34" s="629"/>
      <c r="AD34" s="630"/>
      <c r="AE34" s="630"/>
      <c r="AF34" s="630"/>
      <c r="AG34" s="630"/>
      <c r="AH34" s="631"/>
      <c r="AI34" s="632"/>
      <c r="AJ34" s="630"/>
      <c r="AK34" s="630"/>
      <c r="AL34" s="633">
        <f>SUM(G35:AK35)</f>
        <v>0</v>
      </c>
      <c r="AM34" s="634"/>
      <c r="AN34" s="635"/>
      <c r="AO34" s="636"/>
      <c r="AP34" s="634"/>
      <c r="AQ34" s="637"/>
      <c r="AR34" s="637"/>
    </row>
    <row r="35" spans="1:44" ht="15.9" customHeight="1">
      <c r="A35" s="582"/>
      <c r="B35" s="1655"/>
      <c r="C35" s="1656"/>
      <c r="D35" s="1657"/>
      <c r="E35" s="1658"/>
      <c r="F35" s="638" t="s">
        <v>1234</v>
      </c>
      <c r="G35" s="639" t="str">
        <f t="shared" ref="G35:AK35" si="13">IF(G34&lt;&gt;"",VLOOKUP(G34,$AC$197:$AL$221,9,FALSE),"")</f>
        <v/>
      </c>
      <c r="H35" s="640" t="str">
        <f t="shared" si="13"/>
        <v/>
      </c>
      <c r="I35" s="640" t="str">
        <f t="shared" si="13"/>
        <v/>
      </c>
      <c r="J35" s="640" t="str">
        <f t="shared" si="13"/>
        <v/>
      </c>
      <c r="K35" s="640" t="str">
        <f t="shared" si="13"/>
        <v/>
      </c>
      <c r="L35" s="640" t="str">
        <f t="shared" si="13"/>
        <v/>
      </c>
      <c r="M35" s="641" t="str">
        <f t="shared" si="13"/>
        <v/>
      </c>
      <c r="N35" s="639" t="str">
        <f t="shared" si="13"/>
        <v/>
      </c>
      <c r="O35" s="640" t="str">
        <f t="shared" si="13"/>
        <v/>
      </c>
      <c r="P35" s="640" t="str">
        <f t="shared" si="13"/>
        <v/>
      </c>
      <c r="Q35" s="640" t="str">
        <f t="shared" si="13"/>
        <v/>
      </c>
      <c r="R35" s="640" t="str">
        <f t="shared" si="13"/>
        <v/>
      </c>
      <c r="S35" s="640" t="str">
        <f t="shared" si="13"/>
        <v/>
      </c>
      <c r="T35" s="641" t="str">
        <f t="shared" si="13"/>
        <v/>
      </c>
      <c r="U35" s="639" t="str">
        <f t="shared" si="13"/>
        <v/>
      </c>
      <c r="V35" s="640" t="str">
        <f t="shared" si="13"/>
        <v/>
      </c>
      <c r="W35" s="640" t="str">
        <f t="shared" si="13"/>
        <v/>
      </c>
      <c r="X35" s="640" t="str">
        <f t="shared" si="13"/>
        <v/>
      </c>
      <c r="Y35" s="640" t="str">
        <f t="shared" si="13"/>
        <v/>
      </c>
      <c r="Z35" s="640" t="str">
        <f t="shared" si="13"/>
        <v/>
      </c>
      <c r="AA35" s="641" t="str">
        <f t="shared" si="13"/>
        <v/>
      </c>
      <c r="AB35" s="639" t="str">
        <f t="shared" si="13"/>
        <v/>
      </c>
      <c r="AC35" s="640" t="str">
        <f t="shared" si="13"/>
        <v/>
      </c>
      <c r="AD35" s="640" t="str">
        <f t="shared" si="13"/>
        <v/>
      </c>
      <c r="AE35" s="640" t="str">
        <f t="shared" si="13"/>
        <v/>
      </c>
      <c r="AF35" s="640" t="str">
        <f t="shared" si="13"/>
        <v/>
      </c>
      <c r="AG35" s="640" t="str">
        <f t="shared" si="13"/>
        <v/>
      </c>
      <c r="AH35" s="641" t="str">
        <f t="shared" si="13"/>
        <v/>
      </c>
      <c r="AI35" s="642" t="str">
        <f t="shared" si="13"/>
        <v/>
      </c>
      <c r="AJ35" s="640" t="str">
        <f t="shared" si="13"/>
        <v/>
      </c>
      <c r="AK35" s="640" t="str">
        <f t="shared" si="13"/>
        <v/>
      </c>
      <c r="AL35" s="643">
        <f>SUM(G35:AH35)</f>
        <v>0</v>
      </c>
      <c r="AM35" s="644">
        <f>AL35/4</f>
        <v>0</v>
      </c>
      <c r="AN35" s="645" t="str">
        <f>IF(C34="","",C34)</f>
        <v/>
      </c>
      <c r="AO35" s="646" t="str">
        <f>IF(D34="","",D34)</f>
        <v/>
      </c>
      <c r="AP35" s="647" t="str">
        <f>IF(D34&lt;&gt;"",VLOOKUP(D34,$AU$2:$AV$6,2,FALSE),"")</f>
        <v/>
      </c>
      <c r="AQ35" s="644">
        <f>ROUNDDOWN(AL35/$AL$6,2)</f>
        <v>0</v>
      </c>
      <c r="AR35" s="644">
        <f>IF(AP35=1,"",AQ35)</f>
        <v>0</v>
      </c>
    </row>
    <row r="36" spans="1:44" ht="15.9" customHeight="1">
      <c r="A36" s="582"/>
      <c r="B36" s="1655" t="s">
        <v>1247</v>
      </c>
      <c r="C36" s="1640"/>
      <c r="D36" s="1642"/>
      <c r="E36" s="1644"/>
      <c r="F36" s="627" t="s">
        <v>1233</v>
      </c>
      <c r="G36" s="628"/>
      <c r="H36" s="629"/>
      <c r="I36" s="630"/>
      <c r="J36" s="630"/>
      <c r="K36" s="630"/>
      <c r="L36" s="630"/>
      <c r="M36" s="631"/>
      <c r="N36" s="628"/>
      <c r="O36" s="629"/>
      <c r="P36" s="630"/>
      <c r="Q36" s="630"/>
      <c r="R36" s="630"/>
      <c r="S36" s="630"/>
      <c r="T36" s="631"/>
      <c r="U36" s="628"/>
      <c r="V36" s="629"/>
      <c r="W36" s="630"/>
      <c r="X36" s="630"/>
      <c r="Y36" s="630"/>
      <c r="Z36" s="630"/>
      <c r="AA36" s="631"/>
      <c r="AB36" s="628"/>
      <c r="AC36" s="629"/>
      <c r="AD36" s="630"/>
      <c r="AE36" s="630"/>
      <c r="AF36" s="630"/>
      <c r="AG36" s="630"/>
      <c r="AH36" s="631"/>
      <c r="AI36" s="632"/>
      <c r="AJ36" s="630"/>
      <c r="AK36" s="630"/>
      <c r="AL36" s="633">
        <f>SUM(G37:AK37)</f>
        <v>0</v>
      </c>
      <c r="AM36" s="634"/>
      <c r="AN36" s="635"/>
      <c r="AO36" s="636"/>
      <c r="AP36" s="634"/>
      <c r="AQ36" s="637"/>
      <c r="AR36" s="637"/>
    </row>
    <row r="37" spans="1:44" ht="15.9" customHeight="1">
      <c r="A37" s="582"/>
      <c r="B37" s="1655"/>
      <c r="C37" s="1656"/>
      <c r="D37" s="1657"/>
      <c r="E37" s="1658"/>
      <c r="F37" s="638" t="s">
        <v>1234</v>
      </c>
      <c r="G37" s="639" t="str">
        <f t="shared" ref="G37:AK37" si="14">IF(G36&lt;&gt;"",VLOOKUP(G36,$AC$197:$AL$221,9,FALSE),"")</f>
        <v/>
      </c>
      <c r="H37" s="640" t="str">
        <f t="shared" si="14"/>
        <v/>
      </c>
      <c r="I37" s="640" t="str">
        <f t="shared" si="14"/>
        <v/>
      </c>
      <c r="J37" s="640" t="str">
        <f t="shared" si="14"/>
        <v/>
      </c>
      <c r="K37" s="640" t="str">
        <f t="shared" si="14"/>
        <v/>
      </c>
      <c r="L37" s="640" t="str">
        <f t="shared" si="14"/>
        <v/>
      </c>
      <c r="M37" s="641" t="str">
        <f t="shared" si="14"/>
        <v/>
      </c>
      <c r="N37" s="639" t="str">
        <f t="shared" si="14"/>
        <v/>
      </c>
      <c r="O37" s="640" t="str">
        <f t="shared" si="14"/>
        <v/>
      </c>
      <c r="P37" s="640" t="str">
        <f t="shared" si="14"/>
        <v/>
      </c>
      <c r="Q37" s="640" t="str">
        <f t="shared" si="14"/>
        <v/>
      </c>
      <c r="R37" s="640" t="str">
        <f t="shared" si="14"/>
        <v/>
      </c>
      <c r="S37" s="640" t="str">
        <f t="shared" si="14"/>
        <v/>
      </c>
      <c r="T37" s="641" t="str">
        <f t="shared" si="14"/>
        <v/>
      </c>
      <c r="U37" s="639" t="str">
        <f t="shared" si="14"/>
        <v/>
      </c>
      <c r="V37" s="640" t="str">
        <f t="shared" si="14"/>
        <v/>
      </c>
      <c r="W37" s="640" t="str">
        <f t="shared" si="14"/>
        <v/>
      </c>
      <c r="X37" s="640" t="str">
        <f t="shared" si="14"/>
        <v/>
      </c>
      <c r="Y37" s="640" t="str">
        <f t="shared" si="14"/>
        <v/>
      </c>
      <c r="Z37" s="640" t="str">
        <f t="shared" si="14"/>
        <v/>
      </c>
      <c r="AA37" s="641" t="str">
        <f t="shared" si="14"/>
        <v/>
      </c>
      <c r="AB37" s="639" t="str">
        <f t="shared" si="14"/>
        <v/>
      </c>
      <c r="AC37" s="640" t="str">
        <f t="shared" si="14"/>
        <v/>
      </c>
      <c r="AD37" s="640" t="str">
        <f t="shared" si="14"/>
        <v/>
      </c>
      <c r="AE37" s="640" t="str">
        <f t="shared" si="14"/>
        <v/>
      </c>
      <c r="AF37" s="640" t="str">
        <f t="shared" si="14"/>
        <v/>
      </c>
      <c r="AG37" s="640" t="str">
        <f t="shared" si="14"/>
        <v/>
      </c>
      <c r="AH37" s="641" t="str">
        <f t="shared" si="14"/>
        <v/>
      </c>
      <c r="AI37" s="642" t="str">
        <f t="shared" si="14"/>
        <v/>
      </c>
      <c r="AJ37" s="640" t="str">
        <f t="shared" si="14"/>
        <v/>
      </c>
      <c r="AK37" s="640" t="str">
        <f t="shared" si="14"/>
        <v/>
      </c>
      <c r="AL37" s="643">
        <f>SUM(G37:AH37)</f>
        <v>0</v>
      </c>
      <c r="AM37" s="644">
        <f>AL37/4</f>
        <v>0</v>
      </c>
      <c r="AN37" s="645" t="str">
        <f>IF(C36="","",C36)</f>
        <v/>
      </c>
      <c r="AO37" s="646" t="str">
        <f>IF(D36="","",D36)</f>
        <v/>
      </c>
      <c r="AP37" s="647" t="str">
        <f>IF(D36&lt;&gt;"",VLOOKUP(D36,$AU$2:$AV$6,2,FALSE),"")</f>
        <v/>
      </c>
      <c r="AQ37" s="644">
        <f>ROUNDDOWN(AL37/$AL$6,2)</f>
        <v>0</v>
      </c>
      <c r="AR37" s="644">
        <f>IF(AP37=1,"",AQ37)</f>
        <v>0</v>
      </c>
    </row>
    <row r="38" spans="1:44" ht="15.9" customHeight="1">
      <c r="A38" s="582"/>
      <c r="B38" s="1655" t="s">
        <v>1248</v>
      </c>
      <c r="C38" s="1640"/>
      <c r="D38" s="1642"/>
      <c r="E38" s="1644"/>
      <c r="F38" s="627" t="s">
        <v>1233</v>
      </c>
      <c r="G38" s="628"/>
      <c r="H38" s="629"/>
      <c r="I38" s="630"/>
      <c r="J38" s="630"/>
      <c r="K38" s="630"/>
      <c r="L38" s="630"/>
      <c r="M38" s="631"/>
      <c r="N38" s="628"/>
      <c r="O38" s="629"/>
      <c r="P38" s="630"/>
      <c r="Q38" s="630"/>
      <c r="R38" s="630"/>
      <c r="S38" s="630"/>
      <c r="T38" s="631"/>
      <c r="U38" s="628"/>
      <c r="V38" s="629"/>
      <c r="W38" s="630"/>
      <c r="X38" s="630"/>
      <c r="Y38" s="630"/>
      <c r="Z38" s="630"/>
      <c r="AA38" s="631"/>
      <c r="AB38" s="628"/>
      <c r="AC38" s="629"/>
      <c r="AD38" s="630"/>
      <c r="AE38" s="630"/>
      <c r="AF38" s="630"/>
      <c r="AG38" s="630"/>
      <c r="AH38" s="631"/>
      <c r="AI38" s="648"/>
      <c r="AJ38" s="629"/>
      <c r="AK38" s="629"/>
      <c r="AL38" s="633">
        <f>SUM(G39:AK39)</f>
        <v>0</v>
      </c>
      <c r="AM38" s="634"/>
      <c r="AN38" s="635"/>
      <c r="AO38" s="636"/>
      <c r="AP38" s="634"/>
      <c r="AQ38" s="637"/>
      <c r="AR38" s="637"/>
    </row>
    <row r="39" spans="1:44" ht="15.9" customHeight="1">
      <c r="A39" s="582"/>
      <c r="B39" s="1655"/>
      <c r="C39" s="1656"/>
      <c r="D39" s="1657"/>
      <c r="E39" s="1658"/>
      <c r="F39" s="638" t="s">
        <v>1234</v>
      </c>
      <c r="G39" s="639" t="str">
        <f t="shared" ref="G39:AK39" si="15">IF(G38&lt;&gt;"",VLOOKUP(G38,$AC$197:$AL$221,9,FALSE),"")</f>
        <v/>
      </c>
      <c r="H39" s="640" t="str">
        <f t="shared" si="15"/>
        <v/>
      </c>
      <c r="I39" s="640" t="str">
        <f t="shared" si="15"/>
        <v/>
      </c>
      <c r="J39" s="640" t="str">
        <f t="shared" si="15"/>
        <v/>
      </c>
      <c r="K39" s="640" t="str">
        <f t="shared" si="15"/>
        <v/>
      </c>
      <c r="L39" s="640" t="str">
        <f t="shared" si="15"/>
        <v/>
      </c>
      <c r="M39" s="641" t="str">
        <f t="shared" si="15"/>
        <v/>
      </c>
      <c r="N39" s="639" t="str">
        <f t="shared" si="15"/>
        <v/>
      </c>
      <c r="O39" s="640" t="str">
        <f t="shared" si="15"/>
        <v/>
      </c>
      <c r="P39" s="640" t="str">
        <f t="shared" si="15"/>
        <v/>
      </c>
      <c r="Q39" s="640" t="str">
        <f t="shared" si="15"/>
        <v/>
      </c>
      <c r="R39" s="640" t="str">
        <f t="shared" si="15"/>
        <v/>
      </c>
      <c r="S39" s="640" t="str">
        <f t="shared" si="15"/>
        <v/>
      </c>
      <c r="T39" s="641" t="str">
        <f t="shared" si="15"/>
        <v/>
      </c>
      <c r="U39" s="639" t="str">
        <f t="shared" si="15"/>
        <v/>
      </c>
      <c r="V39" s="640" t="str">
        <f t="shared" si="15"/>
        <v/>
      </c>
      <c r="W39" s="640" t="str">
        <f t="shared" si="15"/>
        <v/>
      </c>
      <c r="X39" s="640" t="str">
        <f t="shared" si="15"/>
        <v/>
      </c>
      <c r="Y39" s="640" t="str">
        <f t="shared" si="15"/>
        <v/>
      </c>
      <c r="Z39" s="640" t="str">
        <f t="shared" si="15"/>
        <v/>
      </c>
      <c r="AA39" s="641" t="str">
        <f t="shared" si="15"/>
        <v/>
      </c>
      <c r="AB39" s="639" t="str">
        <f t="shared" si="15"/>
        <v/>
      </c>
      <c r="AC39" s="640" t="str">
        <f t="shared" si="15"/>
        <v/>
      </c>
      <c r="AD39" s="640" t="str">
        <f t="shared" si="15"/>
        <v/>
      </c>
      <c r="AE39" s="640" t="str">
        <f t="shared" si="15"/>
        <v/>
      </c>
      <c r="AF39" s="640" t="str">
        <f t="shared" si="15"/>
        <v/>
      </c>
      <c r="AG39" s="640" t="str">
        <f t="shared" si="15"/>
        <v/>
      </c>
      <c r="AH39" s="641" t="str">
        <f t="shared" si="15"/>
        <v/>
      </c>
      <c r="AI39" s="642" t="str">
        <f t="shared" si="15"/>
        <v/>
      </c>
      <c r="AJ39" s="640" t="str">
        <f t="shared" si="15"/>
        <v/>
      </c>
      <c r="AK39" s="640" t="str">
        <f t="shared" si="15"/>
        <v/>
      </c>
      <c r="AL39" s="643">
        <f>SUM(G39:AH39)</f>
        <v>0</v>
      </c>
      <c r="AM39" s="644">
        <f>AL39/4</f>
        <v>0</v>
      </c>
      <c r="AN39" s="645" t="str">
        <f>IF(C38="","",C38)</f>
        <v/>
      </c>
      <c r="AO39" s="646" t="str">
        <f>IF(D38="","",D38)</f>
        <v/>
      </c>
      <c r="AP39" s="647" t="str">
        <f>IF(D38&lt;&gt;"",VLOOKUP(D38,$AU$2:$AV$6,2,FALSE),"")</f>
        <v/>
      </c>
      <c r="AQ39" s="644">
        <f>ROUNDDOWN(AL39/$AL$6,2)</f>
        <v>0</v>
      </c>
      <c r="AR39" s="644">
        <f>IF(AP39=1,"",AQ39)</f>
        <v>0</v>
      </c>
    </row>
    <row r="40" spans="1:44" ht="15.9" customHeight="1">
      <c r="A40" s="582"/>
      <c r="B40" s="1655" t="s">
        <v>1249</v>
      </c>
      <c r="C40" s="1640"/>
      <c r="D40" s="1642"/>
      <c r="E40" s="1644"/>
      <c r="F40" s="627" t="s">
        <v>1233</v>
      </c>
      <c r="G40" s="628"/>
      <c r="H40" s="629"/>
      <c r="I40" s="630"/>
      <c r="J40" s="630"/>
      <c r="K40" s="630"/>
      <c r="L40" s="630"/>
      <c r="M40" s="631"/>
      <c r="N40" s="628"/>
      <c r="O40" s="629"/>
      <c r="P40" s="630"/>
      <c r="Q40" s="630"/>
      <c r="R40" s="630"/>
      <c r="S40" s="630"/>
      <c r="T40" s="631"/>
      <c r="U40" s="628"/>
      <c r="V40" s="629"/>
      <c r="W40" s="630"/>
      <c r="X40" s="630"/>
      <c r="Y40" s="630"/>
      <c r="Z40" s="630"/>
      <c r="AA40" s="631"/>
      <c r="AB40" s="628"/>
      <c r="AC40" s="629"/>
      <c r="AD40" s="630"/>
      <c r="AE40" s="630"/>
      <c r="AF40" s="630"/>
      <c r="AG40" s="630"/>
      <c r="AH40" s="631"/>
      <c r="AI40" s="648"/>
      <c r="AJ40" s="629"/>
      <c r="AK40" s="629"/>
      <c r="AL40" s="633">
        <f>SUM(G41:AK41)</f>
        <v>0</v>
      </c>
      <c r="AM40" s="634"/>
      <c r="AN40" s="635"/>
      <c r="AO40" s="636"/>
      <c r="AP40" s="634"/>
      <c r="AQ40" s="637"/>
      <c r="AR40" s="637"/>
    </row>
    <row r="41" spans="1:44" ht="15.9" customHeight="1">
      <c r="A41" s="582"/>
      <c r="B41" s="1655"/>
      <c r="C41" s="1656"/>
      <c r="D41" s="1657"/>
      <c r="E41" s="1658"/>
      <c r="F41" s="638" t="s">
        <v>1234</v>
      </c>
      <c r="G41" s="639" t="str">
        <f t="shared" ref="G41:AK41" si="16">IF(G40&lt;&gt;"",VLOOKUP(G40,$AC$197:$AL$221,9,FALSE),"")</f>
        <v/>
      </c>
      <c r="H41" s="640" t="str">
        <f t="shared" si="16"/>
        <v/>
      </c>
      <c r="I41" s="640" t="str">
        <f t="shared" si="16"/>
        <v/>
      </c>
      <c r="J41" s="640" t="str">
        <f t="shared" si="16"/>
        <v/>
      </c>
      <c r="K41" s="640" t="str">
        <f t="shared" si="16"/>
        <v/>
      </c>
      <c r="L41" s="640" t="str">
        <f t="shared" si="16"/>
        <v/>
      </c>
      <c r="M41" s="641" t="str">
        <f t="shared" si="16"/>
        <v/>
      </c>
      <c r="N41" s="639" t="str">
        <f t="shared" si="16"/>
        <v/>
      </c>
      <c r="O41" s="640" t="str">
        <f t="shared" si="16"/>
        <v/>
      </c>
      <c r="P41" s="640" t="str">
        <f t="shared" si="16"/>
        <v/>
      </c>
      <c r="Q41" s="640" t="str">
        <f t="shared" si="16"/>
        <v/>
      </c>
      <c r="R41" s="640" t="str">
        <f t="shared" si="16"/>
        <v/>
      </c>
      <c r="S41" s="640" t="str">
        <f t="shared" si="16"/>
        <v/>
      </c>
      <c r="T41" s="641" t="str">
        <f t="shared" si="16"/>
        <v/>
      </c>
      <c r="U41" s="639" t="str">
        <f t="shared" si="16"/>
        <v/>
      </c>
      <c r="V41" s="640" t="str">
        <f t="shared" si="16"/>
        <v/>
      </c>
      <c r="W41" s="640" t="str">
        <f t="shared" si="16"/>
        <v/>
      </c>
      <c r="X41" s="640" t="str">
        <f t="shared" si="16"/>
        <v/>
      </c>
      <c r="Y41" s="640" t="str">
        <f t="shared" si="16"/>
        <v/>
      </c>
      <c r="Z41" s="640" t="str">
        <f t="shared" si="16"/>
        <v/>
      </c>
      <c r="AA41" s="641" t="str">
        <f t="shared" si="16"/>
        <v/>
      </c>
      <c r="AB41" s="639" t="str">
        <f t="shared" si="16"/>
        <v/>
      </c>
      <c r="AC41" s="640" t="str">
        <f t="shared" si="16"/>
        <v/>
      </c>
      <c r="AD41" s="640" t="str">
        <f t="shared" si="16"/>
        <v/>
      </c>
      <c r="AE41" s="640" t="str">
        <f t="shared" si="16"/>
        <v/>
      </c>
      <c r="AF41" s="640" t="str">
        <f t="shared" si="16"/>
        <v/>
      </c>
      <c r="AG41" s="640" t="str">
        <f t="shared" si="16"/>
        <v/>
      </c>
      <c r="AH41" s="641" t="str">
        <f t="shared" si="16"/>
        <v/>
      </c>
      <c r="AI41" s="642" t="str">
        <f t="shared" si="16"/>
        <v/>
      </c>
      <c r="AJ41" s="640" t="str">
        <f t="shared" si="16"/>
        <v/>
      </c>
      <c r="AK41" s="640" t="str">
        <f t="shared" si="16"/>
        <v/>
      </c>
      <c r="AL41" s="643">
        <f>SUM(G41:AH41)</f>
        <v>0</v>
      </c>
      <c r="AM41" s="644">
        <f>AL41/4</f>
        <v>0</v>
      </c>
      <c r="AN41" s="645" t="str">
        <f>IF(C40="","",C40)</f>
        <v/>
      </c>
      <c r="AO41" s="646" t="str">
        <f>IF(D40="","",D40)</f>
        <v/>
      </c>
      <c r="AP41" s="647" t="str">
        <f>IF(D40&lt;&gt;"",VLOOKUP(D40,$AU$2:$AV$6,2,FALSE),"")</f>
        <v/>
      </c>
      <c r="AQ41" s="644">
        <f>ROUNDDOWN(AL41/$AL$6,2)</f>
        <v>0</v>
      </c>
      <c r="AR41" s="644">
        <f>IF(AP41=1,"",AQ41)</f>
        <v>0</v>
      </c>
    </row>
    <row r="42" spans="1:44" ht="15.9" customHeight="1">
      <c r="A42" s="582"/>
      <c r="B42" s="1655" t="s">
        <v>1250</v>
      </c>
      <c r="C42" s="1640"/>
      <c r="D42" s="1642"/>
      <c r="E42" s="1644"/>
      <c r="F42" s="627" t="s">
        <v>1233</v>
      </c>
      <c r="G42" s="628"/>
      <c r="H42" s="629"/>
      <c r="I42" s="630"/>
      <c r="J42" s="630"/>
      <c r="K42" s="630"/>
      <c r="L42" s="630"/>
      <c r="M42" s="631"/>
      <c r="N42" s="628"/>
      <c r="O42" s="629"/>
      <c r="P42" s="630"/>
      <c r="Q42" s="630"/>
      <c r="R42" s="630"/>
      <c r="S42" s="630"/>
      <c r="T42" s="631"/>
      <c r="U42" s="628"/>
      <c r="V42" s="629"/>
      <c r="W42" s="630"/>
      <c r="X42" s="630"/>
      <c r="Y42" s="630"/>
      <c r="Z42" s="630"/>
      <c r="AA42" s="631"/>
      <c r="AB42" s="628"/>
      <c r="AC42" s="629"/>
      <c r="AD42" s="630"/>
      <c r="AE42" s="630"/>
      <c r="AF42" s="630"/>
      <c r="AG42" s="630"/>
      <c r="AH42" s="631"/>
      <c r="AI42" s="632"/>
      <c r="AJ42" s="630"/>
      <c r="AK42" s="630"/>
      <c r="AL42" s="633">
        <f>SUM(G43:AK43)</f>
        <v>0</v>
      </c>
      <c r="AM42" s="634"/>
      <c r="AN42" s="635"/>
      <c r="AO42" s="636"/>
      <c r="AP42" s="634"/>
      <c r="AQ42" s="637"/>
      <c r="AR42" s="637"/>
    </row>
    <row r="43" spans="1:44" ht="15.9" customHeight="1">
      <c r="A43" s="582"/>
      <c r="B43" s="1655"/>
      <c r="C43" s="1656"/>
      <c r="D43" s="1657"/>
      <c r="E43" s="1658"/>
      <c r="F43" s="638" t="s">
        <v>1234</v>
      </c>
      <c r="G43" s="639" t="str">
        <f t="shared" ref="G43:AK43" si="17">IF(G42&lt;&gt;"",VLOOKUP(G42,$AC$197:$AL$221,9,FALSE),"")</f>
        <v/>
      </c>
      <c r="H43" s="640" t="str">
        <f t="shared" si="17"/>
        <v/>
      </c>
      <c r="I43" s="640" t="str">
        <f t="shared" si="17"/>
        <v/>
      </c>
      <c r="J43" s="640" t="str">
        <f t="shared" si="17"/>
        <v/>
      </c>
      <c r="K43" s="640" t="str">
        <f t="shared" si="17"/>
        <v/>
      </c>
      <c r="L43" s="640" t="str">
        <f t="shared" si="17"/>
        <v/>
      </c>
      <c r="M43" s="641" t="str">
        <f t="shared" si="17"/>
        <v/>
      </c>
      <c r="N43" s="639" t="str">
        <f t="shared" si="17"/>
        <v/>
      </c>
      <c r="O43" s="640" t="str">
        <f t="shared" si="17"/>
        <v/>
      </c>
      <c r="P43" s="640" t="str">
        <f t="shared" si="17"/>
        <v/>
      </c>
      <c r="Q43" s="640" t="str">
        <f t="shared" si="17"/>
        <v/>
      </c>
      <c r="R43" s="640" t="str">
        <f t="shared" si="17"/>
        <v/>
      </c>
      <c r="S43" s="640" t="str">
        <f t="shared" si="17"/>
        <v/>
      </c>
      <c r="T43" s="641" t="str">
        <f t="shared" si="17"/>
        <v/>
      </c>
      <c r="U43" s="639" t="str">
        <f t="shared" si="17"/>
        <v/>
      </c>
      <c r="V43" s="640" t="str">
        <f t="shared" si="17"/>
        <v/>
      </c>
      <c r="W43" s="640" t="str">
        <f t="shared" si="17"/>
        <v/>
      </c>
      <c r="X43" s="640" t="str">
        <f t="shared" si="17"/>
        <v/>
      </c>
      <c r="Y43" s="640" t="str">
        <f t="shared" si="17"/>
        <v/>
      </c>
      <c r="Z43" s="640" t="str">
        <f t="shared" si="17"/>
        <v/>
      </c>
      <c r="AA43" s="641" t="str">
        <f t="shared" si="17"/>
        <v/>
      </c>
      <c r="AB43" s="639" t="str">
        <f t="shared" si="17"/>
        <v/>
      </c>
      <c r="AC43" s="640" t="str">
        <f t="shared" si="17"/>
        <v/>
      </c>
      <c r="AD43" s="640" t="str">
        <f t="shared" si="17"/>
        <v/>
      </c>
      <c r="AE43" s="640" t="str">
        <f t="shared" si="17"/>
        <v/>
      </c>
      <c r="AF43" s="640" t="str">
        <f t="shared" si="17"/>
        <v/>
      </c>
      <c r="AG43" s="640" t="str">
        <f t="shared" si="17"/>
        <v/>
      </c>
      <c r="AH43" s="641" t="str">
        <f t="shared" si="17"/>
        <v/>
      </c>
      <c r="AI43" s="642" t="str">
        <f t="shared" si="17"/>
        <v/>
      </c>
      <c r="AJ43" s="640" t="str">
        <f t="shared" si="17"/>
        <v/>
      </c>
      <c r="AK43" s="640" t="str">
        <f t="shared" si="17"/>
        <v/>
      </c>
      <c r="AL43" s="643">
        <f>SUM(G43:AH43)</f>
        <v>0</v>
      </c>
      <c r="AM43" s="644">
        <f>AL43/4</f>
        <v>0</v>
      </c>
      <c r="AN43" s="645" t="str">
        <f>IF(C42="","",C42)</f>
        <v/>
      </c>
      <c r="AO43" s="646" t="str">
        <f>IF(D42="","",D42)</f>
        <v/>
      </c>
      <c r="AP43" s="647" t="str">
        <f>IF(D42&lt;&gt;"",VLOOKUP(D42,$AU$2:$AV$6,2,FALSE),"")</f>
        <v/>
      </c>
      <c r="AQ43" s="644">
        <f>ROUNDDOWN(AL43/$AL$6,2)</f>
        <v>0</v>
      </c>
      <c r="AR43" s="644">
        <f>IF(AP43=1,"",AQ43)</f>
        <v>0</v>
      </c>
    </row>
    <row r="44" spans="1:44" ht="15.9" customHeight="1">
      <c r="A44" s="582"/>
      <c r="B44" s="1655" t="s">
        <v>1251</v>
      </c>
      <c r="C44" s="1640"/>
      <c r="D44" s="1642"/>
      <c r="E44" s="1644"/>
      <c r="F44" s="627" t="s">
        <v>1233</v>
      </c>
      <c r="G44" s="628"/>
      <c r="H44" s="629"/>
      <c r="I44" s="630"/>
      <c r="J44" s="630"/>
      <c r="K44" s="630"/>
      <c r="L44" s="630"/>
      <c r="M44" s="631"/>
      <c r="N44" s="628"/>
      <c r="O44" s="629"/>
      <c r="P44" s="630"/>
      <c r="Q44" s="630"/>
      <c r="R44" s="630"/>
      <c r="S44" s="630"/>
      <c r="T44" s="631"/>
      <c r="U44" s="628"/>
      <c r="V44" s="629"/>
      <c r="W44" s="630"/>
      <c r="X44" s="630"/>
      <c r="Y44" s="630"/>
      <c r="Z44" s="630"/>
      <c r="AA44" s="631"/>
      <c r="AB44" s="628"/>
      <c r="AC44" s="629"/>
      <c r="AD44" s="630"/>
      <c r="AE44" s="630"/>
      <c r="AF44" s="630"/>
      <c r="AG44" s="630"/>
      <c r="AH44" s="631"/>
      <c r="AI44" s="632"/>
      <c r="AJ44" s="630"/>
      <c r="AK44" s="630"/>
      <c r="AL44" s="633">
        <f>SUM(G45:AK45)</f>
        <v>0</v>
      </c>
      <c r="AM44" s="634"/>
      <c r="AN44" s="635"/>
      <c r="AO44" s="636"/>
      <c r="AP44" s="634"/>
      <c r="AQ44" s="637"/>
      <c r="AR44" s="637"/>
    </row>
    <row r="45" spans="1:44" ht="15.9" customHeight="1">
      <c r="A45" s="582"/>
      <c r="B45" s="1655"/>
      <c r="C45" s="1656"/>
      <c r="D45" s="1657"/>
      <c r="E45" s="1658"/>
      <c r="F45" s="638" t="s">
        <v>1234</v>
      </c>
      <c r="G45" s="639" t="str">
        <f t="shared" ref="G45:AK45" si="18">IF(G44&lt;&gt;"",VLOOKUP(G44,$AC$197:$AL$221,9,FALSE),"")</f>
        <v/>
      </c>
      <c r="H45" s="640" t="str">
        <f t="shared" si="18"/>
        <v/>
      </c>
      <c r="I45" s="640" t="str">
        <f t="shared" si="18"/>
        <v/>
      </c>
      <c r="J45" s="640" t="str">
        <f t="shared" si="18"/>
        <v/>
      </c>
      <c r="K45" s="640" t="str">
        <f t="shared" si="18"/>
        <v/>
      </c>
      <c r="L45" s="640" t="str">
        <f t="shared" si="18"/>
        <v/>
      </c>
      <c r="M45" s="641" t="str">
        <f t="shared" si="18"/>
        <v/>
      </c>
      <c r="N45" s="639" t="str">
        <f t="shared" si="18"/>
        <v/>
      </c>
      <c r="O45" s="640" t="str">
        <f t="shared" si="18"/>
        <v/>
      </c>
      <c r="P45" s="640" t="str">
        <f t="shared" si="18"/>
        <v/>
      </c>
      <c r="Q45" s="640" t="str">
        <f t="shared" si="18"/>
        <v/>
      </c>
      <c r="R45" s="640" t="str">
        <f t="shared" si="18"/>
        <v/>
      </c>
      <c r="S45" s="640" t="str">
        <f t="shared" si="18"/>
        <v/>
      </c>
      <c r="T45" s="641" t="str">
        <f t="shared" si="18"/>
        <v/>
      </c>
      <c r="U45" s="639" t="str">
        <f t="shared" si="18"/>
        <v/>
      </c>
      <c r="V45" s="640" t="str">
        <f t="shared" si="18"/>
        <v/>
      </c>
      <c r="W45" s="640" t="str">
        <f t="shared" si="18"/>
        <v/>
      </c>
      <c r="X45" s="640" t="str">
        <f t="shared" si="18"/>
        <v/>
      </c>
      <c r="Y45" s="640" t="str">
        <f t="shared" si="18"/>
        <v/>
      </c>
      <c r="Z45" s="640" t="str">
        <f t="shared" si="18"/>
        <v/>
      </c>
      <c r="AA45" s="641" t="str">
        <f t="shared" si="18"/>
        <v/>
      </c>
      <c r="AB45" s="639" t="str">
        <f t="shared" si="18"/>
        <v/>
      </c>
      <c r="AC45" s="640" t="str">
        <f t="shared" si="18"/>
        <v/>
      </c>
      <c r="AD45" s="640" t="str">
        <f t="shared" si="18"/>
        <v/>
      </c>
      <c r="AE45" s="640" t="str">
        <f t="shared" si="18"/>
        <v/>
      </c>
      <c r="AF45" s="640" t="str">
        <f t="shared" si="18"/>
        <v/>
      </c>
      <c r="AG45" s="640" t="str">
        <f t="shared" si="18"/>
        <v/>
      </c>
      <c r="AH45" s="641" t="str">
        <f t="shared" si="18"/>
        <v/>
      </c>
      <c r="AI45" s="642" t="str">
        <f t="shared" si="18"/>
        <v/>
      </c>
      <c r="AJ45" s="640" t="str">
        <f t="shared" si="18"/>
        <v/>
      </c>
      <c r="AK45" s="640" t="str">
        <f t="shared" si="18"/>
        <v/>
      </c>
      <c r="AL45" s="643">
        <f>SUM(G45:AH45)</f>
        <v>0</v>
      </c>
      <c r="AM45" s="644">
        <f>AL45/4</f>
        <v>0</v>
      </c>
      <c r="AN45" s="645" t="str">
        <f>IF(C44="","",C44)</f>
        <v/>
      </c>
      <c r="AO45" s="646" t="str">
        <f>IF(D44="","",D44)</f>
        <v/>
      </c>
      <c r="AP45" s="647" t="str">
        <f>IF(D44&lt;&gt;"",VLOOKUP(D44,$AU$2:$AV$6,2,FALSE),"")</f>
        <v/>
      </c>
      <c r="AQ45" s="644">
        <f>ROUNDDOWN(AL45/$AL$6,2)</f>
        <v>0</v>
      </c>
      <c r="AR45" s="644">
        <f>IF(AP45=1,"",AQ45)</f>
        <v>0</v>
      </c>
    </row>
    <row r="46" spans="1:44" ht="15.9" customHeight="1">
      <c r="A46" s="582"/>
      <c r="B46" s="1655" t="s">
        <v>1252</v>
      </c>
      <c r="C46" s="1640"/>
      <c r="D46" s="1642"/>
      <c r="E46" s="1644"/>
      <c r="F46" s="627" t="s">
        <v>1233</v>
      </c>
      <c r="G46" s="628"/>
      <c r="H46" s="629"/>
      <c r="I46" s="630"/>
      <c r="J46" s="630"/>
      <c r="K46" s="630"/>
      <c r="L46" s="630"/>
      <c r="M46" s="631"/>
      <c r="N46" s="628"/>
      <c r="O46" s="629"/>
      <c r="P46" s="630"/>
      <c r="Q46" s="630"/>
      <c r="R46" s="630"/>
      <c r="S46" s="630"/>
      <c r="T46" s="631"/>
      <c r="U46" s="628"/>
      <c r="V46" s="629"/>
      <c r="W46" s="630"/>
      <c r="X46" s="630"/>
      <c r="Y46" s="630"/>
      <c r="Z46" s="630"/>
      <c r="AA46" s="631"/>
      <c r="AB46" s="628"/>
      <c r="AC46" s="629"/>
      <c r="AD46" s="630"/>
      <c r="AE46" s="630"/>
      <c r="AF46" s="630"/>
      <c r="AG46" s="630"/>
      <c r="AH46" s="631"/>
      <c r="AI46" s="648"/>
      <c r="AJ46" s="629"/>
      <c r="AK46" s="629"/>
      <c r="AL46" s="633">
        <f>SUM(G47:AK47)</f>
        <v>0</v>
      </c>
      <c r="AM46" s="634"/>
      <c r="AN46" s="635"/>
      <c r="AO46" s="636"/>
      <c r="AP46" s="634"/>
      <c r="AQ46" s="637"/>
      <c r="AR46" s="637"/>
    </row>
    <row r="47" spans="1:44" ht="15.9" customHeight="1">
      <c r="A47" s="582"/>
      <c r="B47" s="1655"/>
      <c r="C47" s="1656"/>
      <c r="D47" s="1657"/>
      <c r="E47" s="1658"/>
      <c r="F47" s="638" t="s">
        <v>1234</v>
      </c>
      <c r="G47" s="639" t="str">
        <f t="shared" ref="G47:AK47" si="19">IF(G46&lt;&gt;"",VLOOKUP(G46,$AC$197:$AL$221,9,FALSE),"")</f>
        <v/>
      </c>
      <c r="H47" s="640" t="str">
        <f t="shared" si="19"/>
        <v/>
      </c>
      <c r="I47" s="640" t="str">
        <f t="shared" si="19"/>
        <v/>
      </c>
      <c r="J47" s="640" t="str">
        <f t="shared" si="19"/>
        <v/>
      </c>
      <c r="K47" s="640" t="str">
        <f t="shared" si="19"/>
        <v/>
      </c>
      <c r="L47" s="640" t="str">
        <f t="shared" si="19"/>
        <v/>
      </c>
      <c r="M47" s="641" t="str">
        <f t="shared" si="19"/>
        <v/>
      </c>
      <c r="N47" s="639" t="str">
        <f t="shared" si="19"/>
        <v/>
      </c>
      <c r="O47" s="640" t="str">
        <f t="shared" si="19"/>
        <v/>
      </c>
      <c r="P47" s="640" t="str">
        <f t="shared" si="19"/>
        <v/>
      </c>
      <c r="Q47" s="640" t="str">
        <f t="shared" si="19"/>
        <v/>
      </c>
      <c r="R47" s="640" t="str">
        <f t="shared" si="19"/>
        <v/>
      </c>
      <c r="S47" s="640" t="str">
        <f t="shared" si="19"/>
        <v/>
      </c>
      <c r="T47" s="641" t="str">
        <f t="shared" si="19"/>
        <v/>
      </c>
      <c r="U47" s="639" t="str">
        <f t="shared" si="19"/>
        <v/>
      </c>
      <c r="V47" s="640" t="str">
        <f t="shared" si="19"/>
        <v/>
      </c>
      <c r="W47" s="640" t="str">
        <f t="shared" si="19"/>
        <v/>
      </c>
      <c r="X47" s="640" t="str">
        <f t="shared" si="19"/>
        <v/>
      </c>
      <c r="Y47" s="640" t="str">
        <f t="shared" si="19"/>
        <v/>
      </c>
      <c r="Z47" s="640" t="str">
        <f t="shared" si="19"/>
        <v/>
      </c>
      <c r="AA47" s="641" t="str">
        <f t="shared" si="19"/>
        <v/>
      </c>
      <c r="AB47" s="639" t="str">
        <f t="shared" si="19"/>
        <v/>
      </c>
      <c r="AC47" s="640" t="str">
        <f t="shared" si="19"/>
        <v/>
      </c>
      <c r="AD47" s="640" t="str">
        <f t="shared" si="19"/>
        <v/>
      </c>
      <c r="AE47" s="640" t="str">
        <f t="shared" si="19"/>
        <v/>
      </c>
      <c r="AF47" s="640" t="str">
        <f t="shared" si="19"/>
        <v/>
      </c>
      <c r="AG47" s="640" t="str">
        <f t="shared" si="19"/>
        <v/>
      </c>
      <c r="AH47" s="641" t="str">
        <f t="shared" si="19"/>
        <v/>
      </c>
      <c r="AI47" s="642" t="str">
        <f t="shared" si="19"/>
        <v/>
      </c>
      <c r="AJ47" s="640" t="str">
        <f t="shared" si="19"/>
        <v/>
      </c>
      <c r="AK47" s="640" t="str">
        <f t="shared" si="19"/>
        <v/>
      </c>
      <c r="AL47" s="643">
        <f>SUM(G47:AH47)</f>
        <v>0</v>
      </c>
      <c r="AM47" s="644">
        <f>AL47/4</f>
        <v>0</v>
      </c>
      <c r="AN47" s="645" t="str">
        <f>IF(C46="","",C46)</f>
        <v/>
      </c>
      <c r="AO47" s="646" t="str">
        <f>IF(D46="","",D46)</f>
        <v/>
      </c>
      <c r="AP47" s="647" t="str">
        <f>IF(D46&lt;&gt;"",VLOOKUP(D46,$AU$2:$AV$6,2,FALSE),"")</f>
        <v/>
      </c>
      <c r="AQ47" s="644">
        <f>ROUNDDOWN(AL47/$AL$6,2)</f>
        <v>0</v>
      </c>
      <c r="AR47" s="644">
        <f>IF(AP47=1,"",AQ47)</f>
        <v>0</v>
      </c>
    </row>
    <row r="48" spans="1:44" ht="15.9" customHeight="1">
      <c r="A48" s="582"/>
      <c r="B48" s="1655" t="s">
        <v>1253</v>
      </c>
      <c r="C48" s="1640"/>
      <c r="D48" s="1642"/>
      <c r="E48" s="1644"/>
      <c r="F48" s="627" t="s">
        <v>1233</v>
      </c>
      <c r="G48" s="628"/>
      <c r="H48" s="629"/>
      <c r="I48" s="630"/>
      <c r="J48" s="630"/>
      <c r="K48" s="630"/>
      <c r="L48" s="630"/>
      <c r="M48" s="631"/>
      <c r="N48" s="628"/>
      <c r="O48" s="629"/>
      <c r="P48" s="630"/>
      <c r="Q48" s="630"/>
      <c r="R48" s="630"/>
      <c r="S48" s="630"/>
      <c r="T48" s="631"/>
      <c r="U48" s="628"/>
      <c r="V48" s="629"/>
      <c r="W48" s="630"/>
      <c r="X48" s="630"/>
      <c r="Y48" s="630"/>
      <c r="Z48" s="630"/>
      <c r="AA48" s="631"/>
      <c r="AB48" s="628"/>
      <c r="AC48" s="629"/>
      <c r="AD48" s="630"/>
      <c r="AE48" s="630"/>
      <c r="AF48" s="630"/>
      <c r="AG48" s="630"/>
      <c r="AH48" s="631"/>
      <c r="AI48" s="648"/>
      <c r="AJ48" s="629"/>
      <c r="AK48" s="629"/>
      <c r="AL48" s="633">
        <f>SUM(G49:AK49)</f>
        <v>0</v>
      </c>
      <c r="AM48" s="634"/>
      <c r="AN48" s="635"/>
      <c r="AO48" s="636"/>
      <c r="AP48" s="634"/>
      <c r="AQ48" s="637"/>
      <c r="AR48" s="637"/>
    </row>
    <row r="49" spans="1:44" ht="15.9" customHeight="1">
      <c r="A49" s="582"/>
      <c r="B49" s="1655"/>
      <c r="C49" s="1656"/>
      <c r="D49" s="1657"/>
      <c r="E49" s="1658"/>
      <c r="F49" s="638" t="s">
        <v>1234</v>
      </c>
      <c r="G49" s="639" t="str">
        <f t="shared" ref="G49:AK49" si="20">IF(G48&lt;&gt;"",VLOOKUP(G48,$AC$197:$AL$221,9,FALSE),"")</f>
        <v/>
      </c>
      <c r="H49" s="640" t="str">
        <f t="shared" si="20"/>
        <v/>
      </c>
      <c r="I49" s="640" t="str">
        <f t="shared" si="20"/>
        <v/>
      </c>
      <c r="J49" s="640" t="str">
        <f t="shared" si="20"/>
        <v/>
      </c>
      <c r="K49" s="640" t="str">
        <f t="shared" si="20"/>
        <v/>
      </c>
      <c r="L49" s="640" t="str">
        <f t="shared" si="20"/>
        <v/>
      </c>
      <c r="M49" s="641" t="str">
        <f t="shared" si="20"/>
        <v/>
      </c>
      <c r="N49" s="639" t="str">
        <f t="shared" si="20"/>
        <v/>
      </c>
      <c r="O49" s="640" t="str">
        <f t="shared" si="20"/>
        <v/>
      </c>
      <c r="P49" s="640" t="str">
        <f t="shared" si="20"/>
        <v/>
      </c>
      <c r="Q49" s="640" t="str">
        <f t="shared" si="20"/>
        <v/>
      </c>
      <c r="R49" s="640" t="str">
        <f t="shared" si="20"/>
        <v/>
      </c>
      <c r="S49" s="640" t="str">
        <f t="shared" si="20"/>
        <v/>
      </c>
      <c r="T49" s="641" t="str">
        <f t="shared" si="20"/>
        <v/>
      </c>
      <c r="U49" s="639" t="str">
        <f t="shared" si="20"/>
        <v/>
      </c>
      <c r="V49" s="640" t="str">
        <f t="shared" si="20"/>
        <v/>
      </c>
      <c r="W49" s="640" t="str">
        <f t="shared" si="20"/>
        <v/>
      </c>
      <c r="X49" s="640" t="str">
        <f t="shared" si="20"/>
        <v/>
      </c>
      <c r="Y49" s="640" t="str">
        <f t="shared" si="20"/>
        <v/>
      </c>
      <c r="Z49" s="640" t="str">
        <f t="shared" si="20"/>
        <v/>
      </c>
      <c r="AA49" s="641" t="str">
        <f t="shared" si="20"/>
        <v/>
      </c>
      <c r="AB49" s="639" t="str">
        <f t="shared" si="20"/>
        <v/>
      </c>
      <c r="AC49" s="640" t="str">
        <f t="shared" si="20"/>
        <v/>
      </c>
      <c r="AD49" s="640" t="str">
        <f t="shared" si="20"/>
        <v/>
      </c>
      <c r="AE49" s="640" t="str">
        <f t="shared" si="20"/>
        <v/>
      </c>
      <c r="AF49" s="640" t="str">
        <f t="shared" si="20"/>
        <v/>
      </c>
      <c r="AG49" s="640" t="str">
        <f t="shared" si="20"/>
        <v/>
      </c>
      <c r="AH49" s="641" t="str">
        <f t="shared" si="20"/>
        <v/>
      </c>
      <c r="AI49" s="642" t="str">
        <f t="shared" si="20"/>
        <v/>
      </c>
      <c r="AJ49" s="640" t="str">
        <f t="shared" si="20"/>
        <v/>
      </c>
      <c r="AK49" s="640" t="str">
        <f t="shared" si="20"/>
        <v/>
      </c>
      <c r="AL49" s="643">
        <f>SUM(G49:AH49)</f>
        <v>0</v>
      </c>
      <c r="AM49" s="644">
        <f>AL49/4</f>
        <v>0</v>
      </c>
      <c r="AN49" s="645" t="str">
        <f>IF(C48="","",C48)</f>
        <v/>
      </c>
      <c r="AO49" s="646" t="str">
        <f>IF(D48="","",D48)</f>
        <v/>
      </c>
      <c r="AP49" s="647" t="str">
        <f>IF(D48&lt;&gt;"",VLOOKUP(D48,$AU$2:$AV$6,2,FALSE),"")</f>
        <v/>
      </c>
      <c r="AQ49" s="644">
        <f>ROUNDDOWN(AL49/$AL$6,2)</f>
        <v>0</v>
      </c>
      <c r="AR49" s="644">
        <f>IF(AP49=1,"",AQ49)</f>
        <v>0</v>
      </c>
    </row>
    <row r="50" spans="1:44" ht="15.9" customHeight="1">
      <c r="A50" s="582"/>
      <c r="B50" s="1655" t="s">
        <v>1254</v>
      </c>
      <c r="C50" s="1640"/>
      <c r="D50" s="1642"/>
      <c r="E50" s="1644"/>
      <c r="F50" s="627" t="s">
        <v>1233</v>
      </c>
      <c r="G50" s="628"/>
      <c r="H50" s="629"/>
      <c r="I50" s="630"/>
      <c r="J50" s="630"/>
      <c r="K50" s="630"/>
      <c r="L50" s="630"/>
      <c r="M50" s="631"/>
      <c r="N50" s="628"/>
      <c r="O50" s="629"/>
      <c r="P50" s="630"/>
      <c r="Q50" s="630"/>
      <c r="R50" s="630"/>
      <c r="S50" s="630"/>
      <c r="T50" s="631"/>
      <c r="U50" s="628"/>
      <c r="V50" s="629"/>
      <c r="W50" s="630"/>
      <c r="X50" s="630"/>
      <c r="Y50" s="630"/>
      <c r="Z50" s="630"/>
      <c r="AA50" s="631"/>
      <c r="AB50" s="628"/>
      <c r="AC50" s="629"/>
      <c r="AD50" s="630"/>
      <c r="AE50" s="630"/>
      <c r="AF50" s="630"/>
      <c r="AG50" s="630"/>
      <c r="AH50" s="631"/>
      <c r="AI50" s="632"/>
      <c r="AJ50" s="630"/>
      <c r="AK50" s="630"/>
      <c r="AL50" s="633">
        <f>SUM(G51:AK51)</f>
        <v>0</v>
      </c>
      <c r="AM50" s="634"/>
      <c r="AN50" s="635"/>
      <c r="AO50" s="636"/>
      <c r="AP50" s="634"/>
      <c r="AQ50" s="637"/>
      <c r="AR50" s="637"/>
    </row>
    <row r="51" spans="1:44" ht="15.9" customHeight="1">
      <c r="A51" s="582"/>
      <c r="B51" s="1655"/>
      <c r="C51" s="1656"/>
      <c r="D51" s="1657"/>
      <c r="E51" s="1658"/>
      <c r="F51" s="638" t="s">
        <v>1234</v>
      </c>
      <c r="G51" s="639" t="str">
        <f t="shared" ref="G51:AK51" si="21">IF(G50&lt;&gt;"",VLOOKUP(G50,$AC$197:$AL$221,9,FALSE),"")</f>
        <v/>
      </c>
      <c r="H51" s="640" t="str">
        <f t="shared" si="21"/>
        <v/>
      </c>
      <c r="I51" s="640" t="str">
        <f t="shared" si="21"/>
        <v/>
      </c>
      <c r="J51" s="640" t="str">
        <f t="shared" si="21"/>
        <v/>
      </c>
      <c r="K51" s="640" t="str">
        <f t="shared" si="21"/>
        <v/>
      </c>
      <c r="L51" s="640" t="str">
        <f t="shared" si="21"/>
        <v/>
      </c>
      <c r="M51" s="641" t="str">
        <f t="shared" si="21"/>
        <v/>
      </c>
      <c r="N51" s="639" t="str">
        <f t="shared" si="21"/>
        <v/>
      </c>
      <c r="O51" s="640" t="str">
        <f t="shared" si="21"/>
        <v/>
      </c>
      <c r="P51" s="640" t="str">
        <f t="shared" si="21"/>
        <v/>
      </c>
      <c r="Q51" s="640" t="str">
        <f t="shared" si="21"/>
        <v/>
      </c>
      <c r="R51" s="640" t="str">
        <f t="shared" si="21"/>
        <v/>
      </c>
      <c r="S51" s="640" t="str">
        <f t="shared" si="21"/>
        <v/>
      </c>
      <c r="T51" s="641" t="str">
        <f t="shared" si="21"/>
        <v/>
      </c>
      <c r="U51" s="639" t="str">
        <f t="shared" si="21"/>
        <v/>
      </c>
      <c r="V51" s="640" t="str">
        <f t="shared" si="21"/>
        <v/>
      </c>
      <c r="W51" s="640" t="str">
        <f t="shared" si="21"/>
        <v/>
      </c>
      <c r="X51" s="640" t="str">
        <f t="shared" si="21"/>
        <v/>
      </c>
      <c r="Y51" s="640" t="str">
        <f t="shared" si="21"/>
        <v/>
      </c>
      <c r="Z51" s="640" t="str">
        <f t="shared" si="21"/>
        <v/>
      </c>
      <c r="AA51" s="641" t="str">
        <f t="shared" si="21"/>
        <v/>
      </c>
      <c r="AB51" s="639" t="str">
        <f t="shared" si="21"/>
        <v/>
      </c>
      <c r="AC51" s="640" t="str">
        <f t="shared" si="21"/>
        <v/>
      </c>
      <c r="AD51" s="640" t="str">
        <f t="shared" si="21"/>
        <v/>
      </c>
      <c r="AE51" s="640" t="str">
        <f t="shared" si="21"/>
        <v/>
      </c>
      <c r="AF51" s="640" t="str">
        <f t="shared" si="21"/>
        <v/>
      </c>
      <c r="AG51" s="640" t="str">
        <f t="shared" si="21"/>
        <v/>
      </c>
      <c r="AH51" s="641" t="str">
        <f t="shared" si="21"/>
        <v/>
      </c>
      <c r="AI51" s="642" t="str">
        <f t="shared" si="21"/>
        <v/>
      </c>
      <c r="AJ51" s="640" t="str">
        <f t="shared" si="21"/>
        <v/>
      </c>
      <c r="AK51" s="640" t="str">
        <f t="shared" si="21"/>
        <v/>
      </c>
      <c r="AL51" s="643">
        <f>SUM(G51:AH51)</f>
        <v>0</v>
      </c>
      <c r="AM51" s="644">
        <f>AL51/4</f>
        <v>0</v>
      </c>
      <c r="AN51" s="645" t="str">
        <f>IF(C50="","",C50)</f>
        <v/>
      </c>
      <c r="AO51" s="646" t="str">
        <f>IF(D50="","",D50)</f>
        <v/>
      </c>
      <c r="AP51" s="647" t="str">
        <f>IF(D50&lt;&gt;"",VLOOKUP(D50,$AU$2:$AV$6,2,FALSE),"")</f>
        <v/>
      </c>
      <c r="AQ51" s="644">
        <f>ROUNDDOWN(AL51/$AL$6,2)</f>
        <v>0</v>
      </c>
      <c r="AR51" s="644">
        <f>IF(AP51=1,"",AQ51)</f>
        <v>0</v>
      </c>
    </row>
    <row r="52" spans="1:44" ht="15.9" customHeight="1">
      <c r="A52" s="582"/>
      <c r="B52" s="1655" t="s">
        <v>1255</v>
      </c>
      <c r="C52" s="1640"/>
      <c r="D52" s="1642"/>
      <c r="E52" s="1644"/>
      <c r="F52" s="627" t="s">
        <v>1233</v>
      </c>
      <c r="G52" s="628"/>
      <c r="H52" s="629"/>
      <c r="I52" s="630"/>
      <c r="J52" s="630"/>
      <c r="K52" s="630"/>
      <c r="L52" s="630"/>
      <c r="M52" s="631"/>
      <c r="N52" s="628"/>
      <c r="O52" s="629"/>
      <c r="P52" s="630"/>
      <c r="Q52" s="630"/>
      <c r="R52" s="630"/>
      <c r="S52" s="630"/>
      <c r="T52" s="631"/>
      <c r="U52" s="628"/>
      <c r="V52" s="629"/>
      <c r="W52" s="630"/>
      <c r="X52" s="630"/>
      <c r="Y52" s="630"/>
      <c r="Z52" s="630"/>
      <c r="AA52" s="631"/>
      <c r="AB52" s="628"/>
      <c r="AC52" s="629"/>
      <c r="AD52" s="630"/>
      <c r="AE52" s="630"/>
      <c r="AF52" s="630"/>
      <c r="AG52" s="630"/>
      <c r="AH52" s="631"/>
      <c r="AI52" s="632"/>
      <c r="AJ52" s="630"/>
      <c r="AK52" s="630"/>
      <c r="AL52" s="633">
        <f>SUM(G53:AK53)</f>
        <v>0</v>
      </c>
      <c r="AM52" s="634"/>
      <c r="AN52" s="635"/>
      <c r="AO52" s="636"/>
      <c r="AP52" s="634"/>
      <c r="AQ52" s="637"/>
      <c r="AR52" s="637"/>
    </row>
    <row r="53" spans="1:44" ht="15.9" customHeight="1">
      <c r="A53" s="582"/>
      <c r="B53" s="1655"/>
      <c r="C53" s="1656"/>
      <c r="D53" s="1657"/>
      <c r="E53" s="1658"/>
      <c r="F53" s="638" t="s">
        <v>1234</v>
      </c>
      <c r="G53" s="639" t="str">
        <f t="shared" ref="G53:AK53" si="22">IF(G52&lt;&gt;"",VLOOKUP(G52,$AC$197:$AL$221,9,FALSE),"")</f>
        <v/>
      </c>
      <c r="H53" s="640" t="str">
        <f t="shared" si="22"/>
        <v/>
      </c>
      <c r="I53" s="640" t="str">
        <f t="shared" si="22"/>
        <v/>
      </c>
      <c r="J53" s="640" t="str">
        <f t="shared" si="22"/>
        <v/>
      </c>
      <c r="K53" s="640" t="str">
        <f t="shared" si="22"/>
        <v/>
      </c>
      <c r="L53" s="640" t="str">
        <f t="shared" si="22"/>
        <v/>
      </c>
      <c r="M53" s="641" t="str">
        <f t="shared" si="22"/>
        <v/>
      </c>
      <c r="N53" s="639" t="str">
        <f t="shared" si="22"/>
        <v/>
      </c>
      <c r="O53" s="640" t="str">
        <f t="shared" si="22"/>
        <v/>
      </c>
      <c r="P53" s="640" t="str">
        <f t="shared" si="22"/>
        <v/>
      </c>
      <c r="Q53" s="640" t="str">
        <f t="shared" si="22"/>
        <v/>
      </c>
      <c r="R53" s="640" t="str">
        <f t="shared" si="22"/>
        <v/>
      </c>
      <c r="S53" s="640" t="str">
        <f t="shared" si="22"/>
        <v/>
      </c>
      <c r="T53" s="641" t="str">
        <f t="shared" si="22"/>
        <v/>
      </c>
      <c r="U53" s="639" t="str">
        <f t="shared" si="22"/>
        <v/>
      </c>
      <c r="V53" s="640" t="str">
        <f t="shared" si="22"/>
        <v/>
      </c>
      <c r="W53" s="640" t="str">
        <f t="shared" si="22"/>
        <v/>
      </c>
      <c r="X53" s="640" t="str">
        <f t="shared" si="22"/>
        <v/>
      </c>
      <c r="Y53" s="640" t="str">
        <f t="shared" si="22"/>
        <v/>
      </c>
      <c r="Z53" s="640" t="str">
        <f t="shared" si="22"/>
        <v/>
      </c>
      <c r="AA53" s="641" t="str">
        <f t="shared" si="22"/>
        <v/>
      </c>
      <c r="AB53" s="639" t="str">
        <f t="shared" si="22"/>
        <v/>
      </c>
      <c r="AC53" s="640" t="str">
        <f t="shared" si="22"/>
        <v/>
      </c>
      <c r="AD53" s="640" t="str">
        <f t="shared" si="22"/>
        <v/>
      </c>
      <c r="AE53" s="640" t="str">
        <f t="shared" si="22"/>
        <v/>
      </c>
      <c r="AF53" s="640" t="str">
        <f t="shared" si="22"/>
        <v/>
      </c>
      <c r="AG53" s="640" t="str">
        <f t="shared" si="22"/>
        <v/>
      </c>
      <c r="AH53" s="641" t="str">
        <f t="shared" si="22"/>
        <v/>
      </c>
      <c r="AI53" s="642" t="str">
        <f t="shared" si="22"/>
        <v/>
      </c>
      <c r="AJ53" s="640" t="str">
        <f t="shared" si="22"/>
        <v/>
      </c>
      <c r="AK53" s="640" t="str">
        <f t="shared" si="22"/>
        <v/>
      </c>
      <c r="AL53" s="643">
        <f>SUM(G53:AH53)</f>
        <v>0</v>
      </c>
      <c r="AM53" s="644">
        <f>AL53/4</f>
        <v>0</v>
      </c>
      <c r="AN53" s="645" t="str">
        <f>IF(C52="","",C52)</f>
        <v/>
      </c>
      <c r="AO53" s="646" t="str">
        <f>IF(D52="","",D52)</f>
        <v/>
      </c>
      <c r="AP53" s="647" t="str">
        <f>IF(D52&lt;&gt;"",VLOOKUP(D52,$AU$2:$AV$6,2,FALSE),"")</f>
        <v/>
      </c>
      <c r="AQ53" s="644">
        <f>ROUNDDOWN(AL53/$AL$6,2)</f>
        <v>0</v>
      </c>
      <c r="AR53" s="644">
        <f>IF(AP53=1,"",AQ53)</f>
        <v>0</v>
      </c>
    </row>
    <row r="54" spans="1:44" ht="15.9" customHeight="1">
      <c r="A54" s="582"/>
      <c r="B54" s="1655" t="s">
        <v>1256</v>
      </c>
      <c r="C54" s="1640"/>
      <c r="D54" s="1642"/>
      <c r="E54" s="1644"/>
      <c r="F54" s="627" t="s">
        <v>1233</v>
      </c>
      <c r="G54" s="628"/>
      <c r="H54" s="629"/>
      <c r="I54" s="630"/>
      <c r="J54" s="630"/>
      <c r="K54" s="630"/>
      <c r="L54" s="630"/>
      <c r="M54" s="631"/>
      <c r="N54" s="628"/>
      <c r="O54" s="629"/>
      <c r="P54" s="630"/>
      <c r="Q54" s="630"/>
      <c r="R54" s="630"/>
      <c r="S54" s="630"/>
      <c r="T54" s="631"/>
      <c r="U54" s="628"/>
      <c r="V54" s="629"/>
      <c r="W54" s="630"/>
      <c r="X54" s="630"/>
      <c r="Y54" s="630"/>
      <c r="Z54" s="630"/>
      <c r="AA54" s="631"/>
      <c r="AB54" s="628"/>
      <c r="AC54" s="629"/>
      <c r="AD54" s="630"/>
      <c r="AE54" s="630"/>
      <c r="AF54" s="630"/>
      <c r="AG54" s="630"/>
      <c r="AH54" s="631"/>
      <c r="AI54" s="648"/>
      <c r="AJ54" s="629"/>
      <c r="AK54" s="629"/>
      <c r="AL54" s="633">
        <f>SUM(G55:AK55)</f>
        <v>0</v>
      </c>
      <c r="AM54" s="634"/>
      <c r="AN54" s="635"/>
      <c r="AO54" s="636"/>
      <c r="AP54" s="634"/>
      <c r="AQ54" s="637"/>
      <c r="AR54" s="637"/>
    </row>
    <row r="55" spans="1:44" ht="15.9" customHeight="1">
      <c r="A55" s="582"/>
      <c r="B55" s="1655"/>
      <c r="C55" s="1656"/>
      <c r="D55" s="1657"/>
      <c r="E55" s="1658"/>
      <c r="F55" s="638" t="s">
        <v>1234</v>
      </c>
      <c r="G55" s="639" t="str">
        <f t="shared" ref="G55:AK55" si="23">IF(G54&lt;&gt;"",VLOOKUP(G54,$AC$197:$AL$221,9,FALSE),"")</f>
        <v/>
      </c>
      <c r="H55" s="640" t="str">
        <f t="shared" si="23"/>
        <v/>
      </c>
      <c r="I55" s="640" t="str">
        <f t="shared" si="23"/>
        <v/>
      </c>
      <c r="J55" s="640" t="str">
        <f t="shared" si="23"/>
        <v/>
      </c>
      <c r="K55" s="640" t="str">
        <f t="shared" si="23"/>
        <v/>
      </c>
      <c r="L55" s="640" t="str">
        <f t="shared" si="23"/>
        <v/>
      </c>
      <c r="M55" s="641" t="str">
        <f t="shared" si="23"/>
        <v/>
      </c>
      <c r="N55" s="639" t="str">
        <f t="shared" si="23"/>
        <v/>
      </c>
      <c r="O55" s="640" t="str">
        <f t="shared" si="23"/>
        <v/>
      </c>
      <c r="P55" s="640" t="str">
        <f t="shared" si="23"/>
        <v/>
      </c>
      <c r="Q55" s="640" t="str">
        <f t="shared" si="23"/>
        <v/>
      </c>
      <c r="R55" s="640" t="str">
        <f t="shared" si="23"/>
        <v/>
      </c>
      <c r="S55" s="640" t="str">
        <f t="shared" si="23"/>
        <v/>
      </c>
      <c r="T55" s="641" t="str">
        <f t="shared" si="23"/>
        <v/>
      </c>
      <c r="U55" s="639" t="str">
        <f t="shared" si="23"/>
        <v/>
      </c>
      <c r="V55" s="640" t="str">
        <f t="shared" si="23"/>
        <v/>
      </c>
      <c r="W55" s="640" t="str">
        <f t="shared" si="23"/>
        <v/>
      </c>
      <c r="X55" s="640" t="str">
        <f t="shared" si="23"/>
        <v/>
      </c>
      <c r="Y55" s="640" t="str">
        <f t="shared" si="23"/>
        <v/>
      </c>
      <c r="Z55" s="640" t="str">
        <f t="shared" si="23"/>
        <v/>
      </c>
      <c r="AA55" s="641" t="str">
        <f t="shared" si="23"/>
        <v/>
      </c>
      <c r="AB55" s="639" t="str">
        <f t="shared" si="23"/>
        <v/>
      </c>
      <c r="AC55" s="640" t="str">
        <f t="shared" si="23"/>
        <v/>
      </c>
      <c r="AD55" s="640" t="str">
        <f t="shared" si="23"/>
        <v/>
      </c>
      <c r="AE55" s="640" t="str">
        <f t="shared" si="23"/>
        <v/>
      </c>
      <c r="AF55" s="640" t="str">
        <f t="shared" si="23"/>
        <v/>
      </c>
      <c r="AG55" s="640" t="str">
        <f t="shared" si="23"/>
        <v/>
      </c>
      <c r="AH55" s="641" t="str">
        <f t="shared" si="23"/>
        <v/>
      </c>
      <c r="AI55" s="642" t="str">
        <f t="shared" si="23"/>
        <v/>
      </c>
      <c r="AJ55" s="640" t="str">
        <f t="shared" si="23"/>
        <v/>
      </c>
      <c r="AK55" s="640" t="str">
        <f t="shared" si="23"/>
        <v/>
      </c>
      <c r="AL55" s="643">
        <f>SUM(G55:AH55)</f>
        <v>0</v>
      </c>
      <c r="AM55" s="644">
        <f>AL55/4</f>
        <v>0</v>
      </c>
      <c r="AN55" s="645" t="str">
        <f>IF(C54="","",C54)</f>
        <v/>
      </c>
      <c r="AO55" s="646" t="str">
        <f>IF(D54="","",D54)</f>
        <v/>
      </c>
      <c r="AP55" s="647" t="str">
        <f>IF(D54&lt;&gt;"",VLOOKUP(D54,$AU$2:$AV$6,2,FALSE),"")</f>
        <v/>
      </c>
      <c r="AQ55" s="644">
        <f>ROUNDDOWN(AL55/$AL$6,2)</f>
        <v>0</v>
      </c>
      <c r="AR55" s="644">
        <f>IF(AP55=1,"",AQ55)</f>
        <v>0</v>
      </c>
    </row>
    <row r="56" spans="1:44" ht="15.9" customHeight="1">
      <c r="A56" s="582"/>
      <c r="B56" s="1655" t="s">
        <v>1257</v>
      </c>
      <c r="C56" s="1640"/>
      <c r="D56" s="1642"/>
      <c r="E56" s="1644"/>
      <c r="F56" s="627" t="s">
        <v>1233</v>
      </c>
      <c r="G56" s="628"/>
      <c r="H56" s="629"/>
      <c r="I56" s="630"/>
      <c r="J56" s="630"/>
      <c r="K56" s="630"/>
      <c r="L56" s="630"/>
      <c r="M56" s="631"/>
      <c r="N56" s="628"/>
      <c r="O56" s="629"/>
      <c r="P56" s="630"/>
      <c r="Q56" s="630"/>
      <c r="R56" s="630"/>
      <c r="S56" s="630"/>
      <c r="T56" s="631"/>
      <c r="U56" s="628"/>
      <c r="V56" s="629"/>
      <c r="W56" s="630"/>
      <c r="X56" s="630"/>
      <c r="Y56" s="630"/>
      <c r="Z56" s="630"/>
      <c r="AA56" s="631"/>
      <c r="AB56" s="628"/>
      <c r="AC56" s="629"/>
      <c r="AD56" s="630"/>
      <c r="AE56" s="630"/>
      <c r="AF56" s="630"/>
      <c r="AG56" s="630"/>
      <c r="AH56" s="631"/>
      <c r="AI56" s="648"/>
      <c r="AJ56" s="629"/>
      <c r="AK56" s="629"/>
      <c r="AL56" s="633">
        <f>SUM(G57:AK57)</f>
        <v>0</v>
      </c>
      <c r="AM56" s="634"/>
      <c r="AN56" s="635"/>
      <c r="AO56" s="636"/>
      <c r="AP56" s="634"/>
      <c r="AQ56" s="637"/>
      <c r="AR56" s="637"/>
    </row>
    <row r="57" spans="1:44" ht="15.9" customHeight="1">
      <c r="A57" s="582"/>
      <c r="B57" s="1655"/>
      <c r="C57" s="1656"/>
      <c r="D57" s="1657"/>
      <c r="E57" s="1658"/>
      <c r="F57" s="638" t="s">
        <v>1234</v>
      </c>
      <c r="G57" s="639" t="str">
        <f t="shared" ref="G57:AK57" si="24">IF(G56&lt;&gt;"",VLOOKUP(G56,$AC$197:$AL$221,9,FALSE),"")</f>
        <v/>
      </c>
      <c r="H57" s="640" t="str">
        <f t="shared" si="24"/>
        <v/>
      </c>
      <c r="I57" s="640" t="str">
        <f t="shared" si="24"/>
        <v/>
      </c>
      <c r="J57" s="640" t="str">
        <f t="shared" si="24"/>
        <v/>
      </c>
      <c r="K57" s="640" t="str">
        <f t="shared" si="24"/>
        <v/>
      </c>
      <c r="L57" s="640" t="str">
        <f t="shared" si="24"/>
        <v/>
      </c>
      <c r="M57" s="641" t="str">
        <f t="shared" si="24"/>
        <v/>
      </c>
      <c r="N57" s="639" t="str">
        <f t="shared" si="24"/>
        <v/>
      </c>
      <c r="O57" s="640" t="str">
        <f t="shared" si="24"/>
        <v/>
      </c>
      <c r="P57" s="640" t="str">
        <f t="shared" si="24"/>
        <v/>
      </c>
      <c r="Q57" s="640" t="str">
        <f t="shared" si="24"/>
        <v/>
      </c>
      <c r="R57" s="640" t="str">
        <f t="shared" si="24"/>
        <v/>
      </c>
      <c r="S57" s="640" t="str">
        <f t="shared" si="24"/>
        <v/>
      </c>
      <c r="T57" s="641" t="str">
        <f t="shared" si="24"/>
        <v/>
      </c>
      <c r="U57" s="639" t="str">
        <f t="shared" si="24"/>
        <v/>
      </c>
      <c r="V57" s="640" t="str">
        <f t="shared" si="24"/>
        <v/>
      </c>
      <c r="W57" s="640" t="str">
        <f t="shared" si="24"/>
        <v/>
      </c>
      <c r="X57" s="640" t="str">
        <f t="shared" si="24"/>
        <v/>
      </c>
      <c r="Y57" s="640" t="str">
        <f t="shared" si="24"/>
        <v/>
      </c>
      <c r="Z57" s="640" t="str">
        <f t="shared" si="24"/>
        <v/>
      </c>
      <c r="AA57" s="641" t="str">
        <f t="shared" si="24"/>
        <v/>
      </c>
      <c r="AB57" s="639" t="str">
        <f t="shared" si="24"/>
        <v/>
      </c>
      <c r="AC57" s="640" t="str">
        <f t="shared" si="24"/>
        <v/>
      </c>
      <c r="AD57" s="640" t="str">
        <f t="shared" si="24"/>
        <v/>
      </c>
      <c r="AE57" s="640" t="str">
        <f t="shared" si="24"/>
        <v/>
      </c>
      <c r="AF57" s="640" t="str">
        <f t="shared" si="24"/>
        <v/>
      </c>
      <c r="AG57" s="640" t="str">
        <f t="shared" si="24"/>
        <v/>
      </c>
      <c r="AH57" s="641" t="str">
        <f t="shared" si="24"/>
        <v/>
      </c>
      <c r="AI57" s="642" t="str">
        <f t="shared" si="24"/>
        <v/>
      </c>
      <c r="AJ57" s="640" t="str">
        <f t="shared" si="24"/>
        <v/>
      </c>
      <c r="AK57" s="640" t="str">
        <f t="shared" si="24"/>
        <v/>
      </c>
      <c r="AL57" s="643">
        <f>SUM(G57:AH57)</f>
        <v>0</v>
      </c>
      <c r="AM57" s="644">
        <f>AL57/4</f>
        <v>0</v>
      </c>
      <c r="AN57" s="645" t="str">
        <f>IF(C56="","",C56)</f>
        <v/>
      </c>
      <c r="AO57" s="646" t="str">
        <f>IF(D56="","",D56)</f>
        <v/>
      </c>
      <c r="AP57" s="647" t="str">
        <f>IF(D56&lt;&gt;"",VLOOKUP(D56,$AU$2:$AV$6,2,FALSE),"")</f>
        <v/>
      </c>
      <c r="AQ57" s="644">
        <f>ROUNDDOWN(AL57/$AL$6,2)</f>
        <v>0</v>
      </c>
      <c r="AR57" s="644">
        <f>IF(AP57=1,"",AQ57)</f>
        <v>0</v>
      </c>
    </row>
    <row r="58" spans="1:44" ht="15.9" customHeight="1">
      <c r="A58" s="582"/>
      <c r="B58" s="1655" t="s">
        <v>1258</v>
      </c>
      <c r="C58" s="1640"/>
      <c r="D58" s="1642"/>
      <c r="E58" s="1644"/>
      <c r="F58" s="627" t="s">
        <v>1233</v>
      </c>
      <c r="G58" s="628"/>
      <c r="H58" s="629"/>
      <c r="I58" s="630"/>
      <c r="J58" s="630"/>
      <c r="K58" s="630"/>
      <c r="L58" s="630"/>
      <c r="M58" s="631"/>
      <c r="N58" s="628"/>
      <c r="O58" s="629"/>
      <c r="P58" s="630"/>
      <c r="Q58" s="630"/>
      <c r="R58" s="630"/>
      <c r="S58" s="630"/>
      <c r="T58" s="631"/>
      <c r="U58" s="628"/>
      <c r="V58" s="629"/>
      <c r="W58" s="630"/>
      <c r="X58" s="630"/>
      <c r="Y58" s="630"/>
      <c r="Z58" s="630"/>
      <c r="AA58" s="631"/>
      <c r="AB58" s="628"/>
      <c r="AC58" s="629"/>
      <c r="AD58" s="630"/>
      <c r="AE58" s="630"/>
      <c r="AF58" s="630"/>
      <c r="AG58" s="630"/>
      <c r="AH58" s="631"/>
      <c r="AI58" s="632"/>
      <c r="AJ58" s="630"/>
      <c r="AK58" s="630"/>
      <c r="AL58" s="633">
        <f>SUM(G59:AK59)</f>
        <v>0</v>
      </c>
      <c r="AM58" s="634"/>
      <c r="AN58" s="635"/>
      <c r="AO58" s="636"/>
      <c r="AP58" s="634"/>
      <c r="AQ58" s="637"/>
      <c r="AR58" s="637"/>
    </row>
    <row r="59" spans="1:44" ht="15.9" customHeight="1">
      <c r="A59" s="582"/>
      <c r="B59" s="1655"/>
      <c r="C59" s="1656"/>
      <c r="D59" s="1657"/>
      <c r="E59" s="1658"/>
      <c r="F59" s="638" t="s">
        <v>1234</v>
      </c>
      <c r="G59" s="639" t="str">
        <f t="shared" ref="G59:AK59" si="25">IF(G58&lt;&gt;"",VLOOKUP(G58,$AC$197:$AL$221,9,FALSE),"")</f>
        <v/>
      </c>
      <c r="H59" s="640" t="str">
        <f t="shared" si="25"/>
        <v/>
      </c>
      <c r="I59" s="640" t="str">
        <f t="shared" si="25"/>
        <v/>
      </c>
      <c r="J59" s="640" t="str">
        <f t="shared" si="25"/>
        <v/>
      </c>
      <c r="K59" s="640" t="str">
        <f t="shared" si="25"/>
        <v/>
      </c>
      <c r="L59" s="640" t="str">
        <f t="shared" si="25"/>
        <v/>
      </c>
      <c r="M59" s="641" t="str">
        <f t="shared" si="25"/>
        <v/>
      </c>
      <c r="N59" s="639" t="str">
        <f t="shared" si="25"/>
        <v/>
      </c>
      <c r="O59" s="640" t="str">
        <f t="shared" si="25"/>
        <v/>
      </c>
      <c r="P59" s="640" t="str">
        <f t="shared" si="25"/>
        <v/>
      </c>
      <c r="Q59" s="640" t="str">
        <f t="shared" si="25"/>
        <v/>
      </c>
      <c r="R59" s="640" t="str">
        <f t="shared" si="25"/>
        <v/>
      </c>
      <c r="S59" s="640" t="str">
        <f t="shared" si="25"/>
        <v/>
      </c>
      <c r="T59" s="641" t="str">
        <f t="shared" si="25"/>
        <v/>
      </c>
      <c r="U59" s="639" t="str">
        <f t="shared" si="25"/>
        <v/>
      </c>
      <c r="V59" s="640" t="str">
        <f t="shared" si="25"/>
        <v/>
      </c>
      <c r="W59" s="640" t="str">
        <f t="shared" si="25"/>
        <v/>
      </c>
      <c r="X59" s="640" t="str">
        <f t="shared" si="25"/>
        <v/>
      </c>
      <c r="Y59" s="640" t="str">
        <f t="shared" si="25"/>
        <v/>
      </c>
      <c r="Z59" s="640" t="str">
        <f t="shared" si="25"/>
        <v/>
      </c>
      <c r="AA59" s="641" t="str">
        <f t="shared" si="25"/>
        <v/>
      </c>
      <c r="AB59" s="639" t="str">
        <f t="shared" si="25"/>
        <v/>
      </c>
      <c r="AC59" s="640" t="str">
        <f t="shared" si="25"/>
        <v/>
      </c>
      <c r="AD59" s="640" t="str">
        <f t="shared" si="25"/>
        <v/>
      </c>
      <c r="AE59" s="640" t="str">
        <f t="shared" si="25"/>
        <v/>
      </c>
      <c r="AF59" s="640" t="str">
        <f t="shared" si="25"/>
        <v/>
      </c>
      <c r="AG59" s="640" t="str">
        <f t="shared" si="25"/>
        <v/>
      </c>
      <c r="AH59" s="641" t="str">
        <f t="shared" si="25"/>
        <v/>
      </c>
      <c r="AI59" s="642" t="str">
        <f t="shared" si="25"/>
        <v/>
      </c>
      <c r="AJ59" s="640" t="str">
        <f t="shared" si="25"/>
        <v/>
      </c>
      <c r="AK59" s="640" t="str">
        <f t="shared" si="25"/>
        <v/>
      </c>
      <c r="AL59" s="643">
        <f>SUM(G59:AH59)</f>
        <v>0</v>
      </c>
      <c r="AM59" s="644">
        <f>AL59/4</f>
        <v>0</v>
      </c>
      <c r="AN59" s="645" t="str">
        <f>IF(C58="","",C58)</f>
        <v/>
      </c>
      <c r="AO59" s="646" t="str">
        <f>IF(D58="","",D58)</f>
        <v/>
      </c>
      <c r="AP59" s="647" t="str">
        <f>IF(D58&lt;&gt;"",VLOOKUP(D58,$AU$2:$AV$6,2,FALSE),"")</f>
        <v/>
      </c>
      <c r="AQ59" s="644">
        <f>ROUNDDOWN(AL59/$AL$6,2)</f>
        <v>0</v>
      </c>
      <c r="AR59" s="644">
        <f>IF(AP59=1,"",AQ59)</f>
        <v>0</v>
      </c>
    </row>
    <row r="60" spans="1:44" ht="15.9" customHeight="1">
      <c r="A60" s="582"/>
      <c r="B60" s="1655" t="s">
        <v>1259</v>
      </c>
      <c r="C60" s="1640"/>
      <c r="D60" s="1642"/>
      <c r="E60" s="1644"/>
      <c r="F60" s="627" t="s">
        <v>1233</v>
      </c>
      <c r="G60" s="628"/>
      <c r="H60" s="629"/>
      <c r="I60" s="630"/>
      <c r="J60" s="630"/>
      <c r="K60" s="630"/>
      <c r="L60" s="630"/>
      <c r="M60" s="631"/>
      <c r="N60" s="628"/>
      <c r="O60" s="629"/>
      <c r="P60" s="630"/>
      <c r="Q60" s="630"/>
      <c r="R60" s="630"/>
      <c r="S60" s="630"/>
      <c r="T60" s="631"/>
      <c r="U60" s="628"/>
      <c r="V60" s="629"/>
      <c r="W60" s="630"/>
      <c r="X60" s="630"/>
      <c r="Y60" s="630"/>
      <c r="Z60" s="630"/>
      <c r="AA60" s="631"/>
      <c r="AB60" s="628"/>
      <c r="AC60" s="629"/>
      <c r="AD60" s="630"/>
      <c r="AE60" s="630"/>
      <c r="AF60" s="630"/>
      <c r="AG60" s="630"/>
      <c r="AH60" s="631"/>
      <c r="AI60" s="632"/>
      <c r="AJ60" s="630"/>
      <c r="AK60" s="630"/>
      <c r="AL60" s="633">
        <f>SUM(G61:AK61)</f>
        <v>0</v>
      </c>
      <c r="AM60" s="634"/>
      <c r="AN60" s="635"/>
      <c r="AO60" s="636"/>
      <c r="AP60" s="634"/>
      <c r="AQ60" s="637"/>
      <c r="AR60" s="637"/>
    </row>
    <row r="61" spans="1:44" ht="15.9" customHeight="1">
      <c r="A61" s="582"/>
      <c r="B61" s="1655"/>
      <c r="C61" s="1656"/>
      <c r="D61" s="1657"/>
      <c r="E61" s="1658"/>
      <c r="F61" s="638" t="s">
        <v>1234</v>
      </c>
      <c r="G61" s="639" t="str">
        <f t="shared" ref="G61:AK61" si="26">IF(G60&lt;&gt;"",VLOOKUP(G60,$AC$197:$AL$221,9,FALSE),"")</f>
        <v/>
      </c>
      <c r="H61" s="640" t="str">
        <f t="shared" si="26"/>
        <v/>
      </c>
      <c r="I61" s="640" t="str">
        <f t="shared" si="26"/>
        <v/>
      </c>
      <c r="J61" s="640" t="str">
        <f t="shared" si="26"/>
        <v/>
      </c>
      <c r="K61" s="640" t="str">
        <f t="shared" si="26"/>
        <v/>
      </c>
      <c r="L61" s="640" t="str">
        <f t="shared" si="26"/>
        <v/>
      </c>
      <c r="M61" s="641" t="str">
        <f t="shared" si="26"/>
        <v/>
      </c>
      <c r="N61" s="639" t="str">
        <f t="shared" si="26"/>
        <v/>
      </c>
      <c r="O61" s="640" t="str">
        <f t="shared" si="26"/>
        <v/>
      </c>
      <c r="P61" s="640" t="str">
        <f t="shared" si="26"/>
        <v/>
      </c>
      <c r="Q61" s="640" t="str">
        <f t="shared" si="26"/>
        <v/>
      </c>
      <c r="R61" s="640" t="str">
        <f t="shared" si="26"/>
        <v/>
      </c>
      <c r="S61" s="640" t="str">
        <f t="shared" si="26"/>
        <v/>
      </c>
      <c r="T61" s="641" t="str">
        <f t="shared" si="26"/>
        <v/>
      </c>
      <c r="U61" s="639" t="str">
        <f t="shared" si="26"/>
        <v/>
      </c>
      <c r="V61" s="640" t="str">
        <f t="shared" si="26"/>
        <v/>
      </c>
      <c r="W61" s="640" t="str">
        <f t="shared" si="26"/>
        <v/>
      </c>
      <c r="X61" s="640" t="str">
        <f t="shared" si="26"/>
        <v/>
      </c>
      <c r="Y61" s="640" t="str">
        <f t="shared" si="26"/>
        <v/>
      </c>
      <c r="Z61" s="640" t="str">
        <f t="shared" si="26"/>
        <v/>
      </c>
      <c r="AA61" s="641" t="str">
        <f t="shared" si="26"/>
        <v/>
      </c>
      <c r="AB61" s="639" t="str">
        <f t="shared" si="26"/>
        <v/>
      </c>
      <c r="AC61" s="640" t="str">
        <f t="shared" si="26"/>
        <v/>
      </c>
      <c r="AD61" s="640" t="str">
        <f t="shared" si="26"/>
        <v/>
      </c>
      <c r="AE61" s="640" t="str">
        <f t="shared" si="26"/>
        <v/>
      </c>
      <c r="AF61" s="640" t="str">
        <f t="shared" si="26"/>
        <v/>
      </c>
      <c r="AG61" s="640" t="str">
        <f t="shared" si="26"/>
        <v/>
      </c>
      <c r="AH61" s="641" t="str">
        <f t="shared" si="26"/>
        <v/>
      </c>
      <c r="AI61" s="642" t="str">
        <f t="shared" si="26"/>
        <v/>
      </c>
      <c r="AJ61" s="640" t="str">
        <f t="shared" si="26"/>
        <v/>
      </c>
      <c r="AK61" s="640" t="str">
        <f t="shared" si="26"/>
        <v/>
      </c>
      <c r="AL61" s="643">
        <f>SUM(G61:AH61)</f>
        <v>0</v>
      </c>
      <c r="AM61" s="644">
        <f>AL61/4</f>
        <v>0</v>
      </c>
      <c r="AN61" s="645" t="str">
        <f>IF(C60="","",C60)</f>
        <v/>
      </c>
      <c r="AO61" s="646" t="str">
        <f>IF(D60="","",D60)</f>
        <v/>
      </c>
      <c r="AP61" s="647" t="str">
        <f>IF(D60&lt;&gt;"",VLOOKUP(D60,$AU$2:$AV$6,2,FALSE),"")</f>
        <v/>
      </c>
      <c r="AQ61" s="644">
        <f>ROUNDDOWN(AL61/$AL$6,2)</f>
        <v>0</v>
      </c>
      <c r="AR61" s="644">
        <f>IF(AP61=1,"",AQ61)</f>
        <v>0</v>
      </c>
    </row>
    <row r="62" spans="1:44" ht="15.9" customHeight="1">
      <c r="A62" s="582"/>
      <c r="B62" s="1655" t="s">
        <v>1260</v>
      </c>
      <c r="C62" s="1640"/>
      <c r="D62" s="1642"/>
      <c r="E62" s="1644"/>
      <c r="F62" s="627" t="s">
        <v>1233</v>
      </c>
      <c r="G62" s="628"/>
      <c r="H62" s="629"/>
      <c r="I62" s="630"/>
      <c r="J62" s="630"/>
      <c r="K62" s="630"/>
      <c r="L62" s="630"/>
      <c r="M62" s="631"/>
      <c r="N62" s="628"/>
      <c r="O62" s="629"/>
      <c r="P62" s="630"/>
      <c r="Q62" s="630"/>
      <c r="R62" s="630"/>
      <c r="S62" s="630"/>
      <c r="T62" s="631"/>
      <c r="U62" s="628"/>
      <c r="V62" s="629"/>
      <c r="W62" s="630"/>
      <c r="X62" s="630"/>
      <c r="Y62" s="630"/>
      <c r="Z62" s="630"/>
      <c r="AA62" s="631"/>
      <c r="AB62" s="628"/>
      <c r="AC62" s="629"/>
      <c r="AD62" s="630"/>
      <c r="AE62" s="630"/>
      <c r="AF62" s="630"/>
      <c r="AG62" s="630"/>
      <c r="AH62" s="631"/>
      <c r="AI62" s="648"/>
      <c r="AJ62" s="629"/>
      <c r="AK62" s="629"/>
      <c r="AL62" s="633">
        <f>SUM(G63:AK63)</f>
        <v>0</v>
      </c>
      <c r="AM62" s="634"/>
      <c r="AN62" s="635"/>
      <c r="AO62" s="636"/>
      <c r="AP62" s="634"/>
      <c r="AQ62" s="637"/>
      <c r="AR62" s="637"/>
    </row>
    <row r="63" spans="1:44" ht="15.9" customHeight="1">
      <c r="A63" s="582"/>
      <c r="B63" s="1655"/>
      <c r="C63" s="1656"/>
      <c r="D63" s="1657"/>
      <c r="E63" s="1658"/>
      <c r="F63" s="638" t="s">
        <v>1234</v>
      </c>
      <c r="G63" s="639" t="str">
        <f t="shared" ref="G63:AK63" si="27">IF(G62&lt;&gt;"",VLOOKUP(G62,$AC$197:$AL$221,9,FALSE),"")</f>
        <v/>
      </c>
      <c r="H63" s="640" t="str">
        <f t="shared" si="27"/>
        <v/>
      </c>
      <c r="I63" s="640" t="str">
        <f t="shared" si="27"/>
        <v/>
      </c>
      <c r="J63" s="640" t="str">
        <f t="shared" si="27"/>
        <v/>
      </c>
      <c r="K63" s="640" t="str">
        <f t="shared" si="27"/>
        <v/>
      </c>
      <c r="L63" s="640" t="str">
        <f t="shared" si="27"/>
        <v/>
      </c>
      <c r="M63" s="641" t="str">
        <f t="shared" si="27"/>
        <v/>
      </c>
      <c r="N63" s="639" t="str">
        <f t="shared" si="27"/>
        <v/>
      </c>
      <c r="O63" s="640" t="str">
        <f t="shared" si="27"/>
        <v/>
      </c>
      <c r="P63" s="640" t="str">
        <f t="shared" si="27"/>
        <v/>
      </c>
      <c r="Q63" s="640" t="str">
        <f t="shared" si="27"/>
        <v/>
      </c>
      <c r="R63" s="640" t="str">
        <f t="shared" si="27"/>
        <v/>
      </c>
      <c r="S63" s="640" t="str">
        <f t="shared" si="27"/>
        <v/>
      </c>
      <c r="T63" s="641" t="str">
        <f t="shared" si="27"/>
        <v/>
      </c>
      <c r="U63" s="639" t="str">
        <f t="shared" si="27"/>
        <v/>
      </c>
      <c r="V63" s="640" t="str">
        <f t="shared" si="27"/>
        <v/>
      </c>
      <c r="W63" s="640" t="str">
        <f t="shared" si="27"/>
        <v/>
      </c>
      <c r="X63" s="640" t="str">
        <f t="shared" si="27"/>
        <v/>
      </c>
      <c r="Y63" s="640" t="str">
        <f t="shared" si="27"/>
        <v/>
      </c>
      <c r="Z63" s="640" t="str">
        <f t="shared" si="27"/>
        <v/>
      </c>
      <c r="AA63" s="641" t="str">
        <f t="shared" si="27"/>
        <v/>
      </c>
      <c r="AB63" s="639" t="str">
        <f t="shared" si="27"/>
        <v/>
      </c>
      <c r="AC63" s="640" t="str">
        <f t="shared" si="27"/>
        <v/>
      </c>
      <c r="AD63" s="640" t="str">
        <f t="shared" si="27"/>
        <v/>
      </c>
      <c r="AE63" s="640" t="str">
        <f t="shared" si="27"/>
        <v/>
      </c>
      <c r="AF63" s="640" t="str">
        <f t="shared" si="27"/>
        <v/>
      </c>
      <c r="AG63" s="640" t="str">
        <f t="shared" si="27"/>
        <v/>
      </c>
      <c r="AH63" s="641" t="str">
        <f t="shared" si="27"/>
        <v/>
      </c>
      <c r="AI63" s="642" t="str">
        <f t="shared" si="27"/>
        <v/>
      </c>
      <c r="AJ63" s="640" t="str">
        <f t="shared" si="27"/>
        <v/>
      </c>
      <c r="AK63" s="640" t="str">
        <f t="shared" si="27"/>
        <v/>
      </c>
      <c r="AL63" s="643">
        <f>SUM(G63:AH63)</f>
        <v>0</v>
      </c>
      <c r="AM63" s="644">
        <f>AL63/4</f>
        <v>0</v>
      </c>
      <c r="AN63" s="645" t="str">
        <f>IF(C62="","",C62)</f>
        <v/>
      </c>
      <c r="AO63" s="646" t="str">
        <f>IF(D62="","",D62)</f>
        <v/>
      </c>
      <c r="AP63" s="647" t="str">
        <f>IF(D62&lt;&gt;"",VLOOKUP(D62,$AU$2:$AV$6,2,FALSE),"")</f>
        <v/>
      </c>
      <c r="AQ63" s="644">
        <f>ROUNDDOWN(AL63/$AL$6,2)</f>
        <v>0</v>
      </c>
      <c r="AR63" s="644">
        <f>IF(AP63=1,"",AQ63)</f>
        <v>0</v>
      </c>
    </row>
    <row r="64" spans="1:44" ht="15.9" customHeight="1">
      <c r="A64" s="582"/>
      <c r="B64" s="1655" t="s">
        <v>1261</v>
      </c>
      <c r="C64" s="1640"/>
      <c r="D64" s="1642"/>
      <c r="E64" s="1644"/>
      <c r="F64" s="627" t="s">
        <v>1233</v>
      </c>
      <c r="G64" s="628"/>
      <c r="H64" s="629"/>
      <c r="I64" s="630"/>
      <c r="J64" s="630"/>
      <c r="K64" s="630"/>
      <c r="L64" s="630"/>
      <c r="M64" s="631"/>
      <c r="N64" s="628"/>
      <c r="O64" s="629"/>
      <c r="P64" s="630"/>
      <c r="Q64" s="630"/>
      <c r="R64" s="630"/>
      <c r="S64" s="630"/>
      <c r="T64" s="631"/>
      <c r="U64" s="628"/>
      <c r="V64" s="629"/>
      <c r="W64" s="630"/>
      <c r="X64" s="630"/>
      <c r="Y64" s="630"/>
      <c r="Z64" s="630"/>
      <c r="AA64" s="631"/>
      <c r="AB64" s="628"/>
      <c r="AC64" s="629"/>
      <c r="AD64" s="630"/>
      <c r="AE64" s="630"/>
      <c r="AF64" s="630"/>
      <c r="AG64" s="630"/>
      <c r="AH64" s="631"/>
      <c r="AI64" s="648"/>
      <c r="AJ64" s="629"/>
      <c r="AK64" s="629"/>
      <c r="AL64" s="633">
        <f>SUM(G65:AK65)</f>
        <v>0</v>
      </c>
      <c r="AM64" s="634"/>
      <c r="AN64" s="635"/>
      <c r="AO64" s="636"/>
      <c r="AP64" s="634"/>
      <c r="AQ64" s="637"/>
      <c r="AR64" s="637"/>
    </row>
    <row r="65" spans="1:44" ht="15.9" customHeight="1">
      <c r="A65" s="582"/>
      <c r="B65" s="1655"/>
      <c r="C65" s="1656"/>
      <c r="D65" s="1657"/>
      <c r="E65" s="1658"/>
      <c r="F65" s="638" t="s">
        <v>1234</v>
      </c>
      <c r="G65" s="639" t="str">
        <f t="shared" ref="G65:AK65" si="28">IF(G64&lt;&gt;"",VLOOKUP(G64,$AC$197:$AL$221,9,FALSE),"")</f>
        <v/>
      </c>
      <c r="H65" s="640" t="str">
        <f t="shared" si="28"/>
        <v/>
      </c>
      <c r="I65" s="640" t="str">
        <f t="shared" si="28"/>
        <v/>
      </c>
      <c r="J65" s="640" t="str">
        <f t="shared" si="28"/>
        <v/>
      </c>
      <c r="K65" s="640" t="str">
        <f t="shared" si="28"/>
        <v/>
      </c>
      <c r="L65" s="640" t="str">
        <f t="shared" si="28"/>
        <v/>
      </c>
      <c r="M65" s="641" t="str">
        <f t="shared" si="28"/>
        <v/>
      </c>
      <c r="N65" s="639" t="str">
        <f t="shared" si="28"/>
        <v/>
      </c>
      <c r="O65" s="640" t="str">
        <f t="shared" si="28"/>
        <v/>
      </c>
      <c r="P65" s="640" t="str">
        <f t="shared" si="28"/>
        <v/>
      </c>
      <c r="Q65" s="640" t="str">
        <f t="shared" si="28"/>
        <v/>
      </c>
      <c r="R65" s="640" t="str">
        <f t="shared" si="28"/>
        <v/>
      </c>
      <c r="S65" s="640" t="str">
        <f t="shared" si="28"/>
        <v/>
      </c>
      <c r="T65" s="641" t="str">
        <f t="shared" si="28"/>
        <v/>
      </c>
      <c r="U65" s="639" t="str">
        <f t="shared" si="28"/>
        <v/>
      </c>
      <c r="V65" s="640" t="str">
        <f t="shared" si="28"/>
        <v/>
      </c>
      <c r="W65" s="640" t="str">
        <f t="shared" si="28"/>
        <v/>
      </c>
      <c r="X65" s="640" t="str">
        <f t="shared" si="28"/>
        <v/>
      </c>
      <c r="Y65" s="640" t="str">
        <f t="shared" si="28"/>
        <v/>
      </c>
      <c r="Z65" s="640" t="str">
        <f t="shared" si="28"/>
        <v/>
      </c>
      <c r="AA65" s="641" t="str">
        <f t="shared" si="28"/>
        <v/>
      </c>
      <c r="AB65" s="639" t="str">
        <f t="shared" si="28"/>
        <v/>
      </c>
      <c r="AC65" s="640" t="str">
        <f t="shared" si="28"/>
        <v/>
      </c>
      <c r="AD65" s="640" t="str">
        <f t="shared" si="28"/>
        <v/>
      </c>
      <c r="AE65" s="640" t="str">
        <f t="shared" si="28"/>
        <v/>
      </c>
      <c r="AF65" s="640" t="str">
        <f t="shared" si="28"/>
        <v/>
      </c>
      <c r="AG65" s="640" t="str">
        <f t="shared" si="28"/>
        <v/>
      </c>
      <c r="AH65" s="641" t="str">
        <f t="shared" si="28"/>
        <v/>
      </c>
      <c r="AI65" s="642" t="str">
        <f t="shared" si="28"/>
        <v/>
      </c>
      <c r="AJ65" s="640" t="str">
        <f t="shared" si="28"/>
        <v/>
      </c>
      <c r="AK65" s="640" t="str">
        <f t="shared" si="28"/>
        <v/>
      </c>
      <c r="AL65" s="643">
        <f>SUM(G65:AH65)</f>
        <v>0</v>
      </c>
      <c r="AM65" s="644">
        <f>AL65/4</f>
        <v>0</v>
      </c>
      <c r="AN65" s="645" t="str">
        <f>IF(C64="","",C64)</f>
        <v/>
      </c>
      <c r="AO65" s="646" t="str">
        <f>IF(D64="","",D64)</f>
        <v/>
      </c>
      <c r="AP65" s="647" t="str">
        <f>IF(D64&lt;&gt;"",VLOOKUP(D64,$AU$2:$AV$6,2,FALSE),"")</f>
        <v/>
      </c>
      <c r="AQ65" s="644">
        <f>ROUNDDOWN(AL65/$AL$6,2)</f>
        <v>0</v>
      </c>
      <c r="AR65" s="644">
        <f>IF(AP65=1,"",AQ65)</f>
        <v>0</v>
      </c>
    </row>
    <row r="66" spans="1:44" ht="15.9" customHeight="1">
      <c r="A66" s="582"/>
      <c r="B66" s="1655" t="s">
        <v>1262</v>
      </c>
      <c r="C66" s="1640"/>
      <c r="D66" s="1642"/>
      <c r="E66" s="1644"/>
      <c r="F66" s="627" t="s">
        <v>1233</v>
      </c>
      <c r="G66" s="628"/>
      <c r="H66" s="629"/>
      <c r="I66" s="630"/>
      <c r="J66" s="630"/>
      <c r="K66" s="630"/>
      <c r="L66" s="630"/>
      <c r="M66" s="631"/>
      <c r="N66" s="628"/>
      <c r="O66" s="629"/>
      <c r="P66" s="630"/>
      <c r="Q66" s="630"/>
      <c r="R66" s="630"/>
      <c r="S66" s="630"/>
      <c r="T66" s="631"/>
      <c r="U66" s="628"/>
      <c r="V66" s="629"/>
      <c r="W66" s="630"/>
      <c r="X66" s="630"/>
      <c r="Y66" s="630"/>
      <c r="Z66" s="630"/>
      <c r="AA66" s="631"/>
      <c r="AB66" s="628"/>
      <c r="AC66" s="629"/>
      <c r="AD66" s="630"/>
      <c r="AE66" s="630"/>
      <c r="AF66" s="630"/>
      <c r="AG66" s="630"/>
      <c r="AH66" s="631"/>
      <c r="AI66" s="632"/>
      <c r="AJ66" s="630"/>
      <c r="AK66" s="630"/>
      <c r="AL66" s="633">
        <f>SUM(G67:AK67)</f>
        <v>0</v>
      </c>
      <c r="AM66" s="634"/>
      <c r="AN66" s="635"/>
      <c r="AO66" s="636"/>
      <c r="AP66" s="634"/>
      <c r="AQ66" s="637"/>
      <c r="AR66" s="637"/>
    </row>
    <row r="67" spans="1:44" ht="15.9" customHeight="1">
      <c r="A67" s="582"/>
      <c r="B67" s="1655"/>
      <c r="C67" s="1656"/>
      <c r="D67" s="1657"/>
      <c r="E67" s="1658"/>
      <c r="F67" s="638" t="s">
        <v>1234</v>
      </c>
      <c r="G67" s="639" t="str">
        <f t="shared" ref="G67:AK67" si="29">IF(G66&lt;&gt;"",VLOOKUP(G66,$AC$197:$AL$221,9,FALSE),"")</f>
        <v/>
      </c>
      <c r="H67" s="640" t="str">
        <f t="shared" si="29"/>
        <v/>
      </c>
      <c r="I67" s="640" t="str">
        <f t="shared" si="29"/>
        <v/>
      </c>
      <c r="J67" s="640" t="str">
        <f t="shared" si="29"/>
        <v/>
      </c>
      <c r="K67" s="640" t="str">
        <f t="shared" si="29"/>
        <v/>
      </c>
      <c r="L67" s="640" t="str">
        <f t="shared" si="29"/>
        <v/>
      </c>
      <c r="M67" s="641" t="str">
        <f t="shared" si="29"/>
        <v/>
      </c>
      <c r="N67" s="639" t="str">
        <f t="shared" si="29"/>
        <v/>
      </c>
      <c r="O67" s="640" t="str">
        <f t="shared" si="29"/>
        <v/>
      </c>
      <c r="P67" s="640" t="str">
        <f t="shared" si="29"/>
        <v/>
      </c>
      <c r="Q67" s="640" t="str">
        <f t="shared" si="29"/>
        <v/>
      </c>
      <c r="R67" s="640" t="str">
        <f t="shared" si="29"/>
        <v/>
      </c>
      <c r="S67" s="640" t="str">
        <f t="shared" si="29"/>
        <v/>
      </c>
      <c r="T67" s="641" t="str">
        <f t="shared" si="29"/>
        <v/>
      </c>
      <c r="U67" s="639" t="str">
        <f t="shared" si="29"/>
        <v/>
      </c>
      <c r="V67" s="640" t="str">
        <f t="shared" si="29"/>
        <v/>
      </c>
      <c r="W67" s="640" t="str">
        <f t="shared" si="29"/>
        <v/>
      </c>
      <c r="X67" s="640" t="str">
        <f t="shared" si="29"/>
        <v/>
      </c>
      <c r="Y67" s="640" t="str">
        <f t="shared" si="29"/>
        <v/>
      </c>
      <c r="Z67" s="640" t="str">
        <f t="shared" si="29"/>
        <v/>
      </c>
      <c r="AA67" s="641" t="str">
        <f t="shared" si="29"/>
        <v/>
      </c>
      <c r="AB67" s="639" t="str">
        <f t="shared" si="29"/>
        <v/>
      </c>
      <c r="AC67" s="640" t="str">
        <f t="shared" si="29"/>
        <v/>
      </c>
      <c r="AD67" s="640" t="str">
        <f t="shared" si="29"/>
        <v/>
      </c>
      <c r="AE67" s="640" t="str">
        <f t="shared" si="29"/>
        <v/>
      </c>
      <c r="AF67" s="640" t="str">
        <f t="shared" si="29"/>
        <v/>
      </c>
      <c r="AG67" s="640" t="str">
        <f t="shared" si="29"/>
        <v/>
      </c>
      <c r="AH67" s="641" t="str">
        <f t="shared" si="29"/>
        <v/>
      </c>
      <c r="AI67" s="642" t="str">
        <f t="shared" si="29"/>
        <v/>
      </c>
      <c r="AJ67" s="640" t="str">
        <f t="shared" si="29"/>
        <v/>
      </c>
      <c r="AK67" s="640" t="str">
        <f t="shared" si="29"/>
        <v/>
      </c>
      <c r="AL67" s="643">
        <f>SUM(G67:AH67)</f>
        <v>0</v>
      </c>
      <c r="AM67" s="644">
        <f>AL67/4</f>
        <v>0</v>
      </c>
      <c r="AN67" s="645" t="str">
        <f>IF(C66="","",C66)</f>
        <v/>
      </c>
      <c r="AO67" s="646" t="str">
        <f>IF(D66="","",D66)</f>
        <v/>
      </c>
      <c r="AP67" s="647" t="str">
        <f>IF(D66&lt;&gt;"",VLOOKUP(D66,$AU$2:$AV$6,2,FALSE),"")</f>
        <v/>
      </c>
      <c r="AQ67" s="644">
        <f>ROUNDDOWN(AL67/$AL$6,2)</f>
        <v>0</v>
      </c>
      <c r="AR67" s="644">
        <f>IF(AP67=1,"",AQ67)</f>
        <v>0</v>
      </c>
    </row>
    <row r="68" spans="1:44" ht="15.9" customHeight="1">
      <c r="A68" s="582"/>
      <c r="B68" s="1655" t="s">
        <v>1263</v>
      </c>
      <c r="C68" s="1640"/>
      <c r="D68" s="1642"/>
      <c r="E68" s="1644"/>
      <c r="F68" s="627" t="s">
        <v>1233</v>
      </c>
      <c r="G68" s="628"/>
      <c r="H68" s="629"/>
      <c r="I68" s="630"/>
      <c r="J68" s="630"/>
      <c r="K68" s="630"/>
      <c r="L68" s="630"/>
      <c r="M68" s="631"/>
      <c r="N68" s="628"/>
      <c r="O68" s="629"/>
      <c r="P68" s="630"/>
      <c r="Q68" s="630"/>
      <c r="R68" s="630"/>
      <c r="S68" s="630"/>
      <c r="T68" s="631"/>
      <c r="U68" s="628"/>
      <c r="V68" s="629"/>
      <c r="W68" s="630"/>
      <c r="X68" s="630"/>
      <c r="Y68" s="630"/>
      <c r="Z68" s="630"/>
      <c r="AA68" s="631"/>
      <c r="AB68" s="628"/>
      <c r="AC68" s="629"/>
      <c r="AD68" s="630"/>
      <c r="AE68" s="630"/>
      <c r="AF68" s="630"/>
      <c r="AG68" s="630"/>
      <c r="AH68" s="631"/>
      <c r="AI68" s="632"/>
      <c r="AJ68" s="630"/>
      <c r="AK68" s="630"/>
      <c r="AL68" s="633">
        <f>SUM(G69:AK69)</f>
        <v>0</v>
      </c>
      <c r="AM68" s="634"/>
      <c r="AN68" s="635"/>
      <c r="AO68" s="636"/>
      <c r="AP68" s="634"/>
      <c r="AQ68" s="637"/>
      <c r="AR68" s="637"/>
    </row>
    <row r="69" spans="1:44" ht="15.9" customHeight="1">
      <c r="A69" s="582"/>
      <c r="B69" s="1655"/>
      <c r="C69" s="1656"/>
      <c r="D69" s="1657"/>
      <c r="E69" s="1658"/>
      <c r="F69" s="638" t="s">
        <v>1234</v>
      </c>
      <c r="G69" s="639" t="str">
        <f t="shared" ref="G69:AK69" si="30">IF(G68&lt;&gt;"",VLOOKUP(G68,$AC$197:$AL$221,9,FALSE),"")</f>
        <v/>
      </c>
      <c r="H69" s="640" t="str">
        <f t="shared" si="30"/>
        <v/>
      </c>
      <c r="I69" s="640" t="str">
        <f t="shared" si="30"/>
        <v/>
      </c>
      <c r="J69" s="640" t="str">
        <f t="shared" si="30"/>
        <v/>
      </c>
      <c r="K69" s="640" t="str">
        <f t="shared" si="30"/>
        <v/>
      </c>
      <c r="L69" s="640" t="str">
        <f t="shared" si="30"/>
        <v/>
      </c>
      <c r="M69" s="641" t="str">
        <f t="shared" si="30"/>
        <v/>
      </c>
      <c r="N69" s="639" t="str">
        <f t="shared" si="30"/>
        <v/>
      </c>
      <c r="O69" s="640" t="str">
        <f t="shared" si="30"/>
        <v/>
      </c>
      <c r="P69" s="640" t="str">
        <f t="shared" si="30"/>
        <v/>
      </c>
      <c r="Q69" s="640" t="str">
        <f t="shared" si="30"/>
        <v/>
      </c>
      <c r="R69" s="640" t="str">
        <f t="shared" si="30"/>
        <v/>
      </c>
      <c r="S69" s="640" t="str">
        <f t="shared" si="30"/>
        <v/>
      </c>
      <c r="T69" s="641" t="str">
        <f t="shared" si="30"/>
        <v/>
      </c>
      <c r="U69" s="639" t="str">
        <f t="shared" si="30"/>
        <v/>
      </c>
      <c r="V69" s="640" t="str">
        <f t="shared" si="30"/>
        <v/>
      </c>
      <c r="W69" s="640" t="str">
        <f t="shared" si="30"/>
        <v/>
      </c>
      <c r="X69" s="640" t="str">
        <f t="shared" si="30"/>
        <v/>
      </c>
      <c r="Y69" s="640" t="str">
        <f t="shared" si="30"/>
        <v/>
      </c>
      <c r="Z69" s="640" t="str">
        <f t="shared" si="30"/>
        <v/>
      </c>
      <c r="AA69" s="641" t="str">
        <f t="shared" si="30"/>
        <v/>
      </c>
      <c r="AB69" s="639" t="str">
        <f t="shared" si="30"/>
        <v/>
      </c>
      <c r="AC69" s="640" t="str">
        <f t="shared" si="30"/>
        <v/>
      </c>
      <c r="AD69" s="640" t="str">
        <f t="shared" si="30"/>
        <v/>
      </c>
      <c r="AE69" s="640" t="str">
        <f t="shared" si="30"/>
        <v/>
      </c>
      <c r="AF69" s="640" t="str">
        <f t="shared" si="30"/>
        <v/>
      </c>
      <c r="AG69" s="640" t="str">
        <f t="shared" si="30"/>
        <v/>
      </c>
      <c r="AH69" s="641" t="str">
        <f t="shared" si="30"/>
        <v/>
      </c>
      <c r="AI69" s="642" t="str">
        <f t="shared" si="30"/>
        <v/>
      </c>
      <c r="AJ69" s="640" t="str">
        <f t="shared" si="30"/>
        <v/>
      </c>
      <c r="AK69" s="640" t="str">
        <f t="shared" si="30"/>
        <v/>
      </c>
      <c r="AL69" s="643">
        <f>SUM(G69:AH69)</f>
        <v>0</v>
      </c>
      <c r="AM69" s="644">
        <f>AL69/4</f>
        <v>0</v>
      </c>
      <c r="AN69" s="645" t="str">
        <f>IF(C68="","",C68)</f>
        <v/>
      </c>
      <c r="AO69" s="646" t="str">
        <f>IF(D68="","",D68)</f>
        <v/>
      </c>
      <c r="AP69" s="647" t="str">
        <f>IF(D68&lt;&gt;"",VLOOKUP(D68,$AU$2:$AV$6,2,FALSE),"")</f>
        <v/>
      </c>
      <c r="AQ69" s="644">
        <f>ROUNDDOWN(AL69/$AL$6,2)</f>
        <v>0</v>
      </c>
      <c r="AR69" s="644">
        <f>IF(AP69=1,"",AQ69)</f>
        <v>0</v>
      </c>
    </row>
    <row r="70" spans="1:44" ht="15.9" customHeight="1">
      <c r="A70" s="582"/>
      <c r="B70" s="1655" t="s">
        <v>1264</v>
      </c>
      <c r="C70" s="1640"/>
      <c r="D70" s="1642"/>
      <c r="E70" s="1644"/>
      <c r="F70" s="627" t="s">
        <v>1233</v>
      </c>
      <c r="G70" s="628"/>
      <c r="H70" s="629"/>
      <c r="I70" s="630"/>
      <c r="J70" s="630"/>
      <c r="K70" s="630"/>
      <c r="L70" s="630"/>
      <c r="M70" s="631"/>
      <c r="N70" s="628"/>
      <c r="O70" s="629"/>
      <c r="P70" s="630"/>
      <c r="Q70" s="630"/>
      <c r="R70" s="630"/>
      <c r="S70" s="630"/>
      <c r="T70" s="631"/>
      <c r="U70" s="628"/>
      <c r="V70" s="629"/>
      <c r="W70" s="630"/>
      <c r="X70" s="630"/>
      <c r="Y70" s="630"/>
      <c r="Z70" s="630"/>
      <c r="AA70" s="631"/>
      <c r="AB70" s="628"/>
      <c r="AC70" s="629"/>
      <c r="AD70" s="630"/>
      <c r="AE70" s="630"/>
      <c r="AF70" s="630"/>
      <c r="AG70" s="630"/>
      <c r="AH70" s="631"/>
      <c r="AI70" s="648"/>
      <c r="AJ70" s="629"/>
      <c r="AK70" s="629"/>
      <c r="AL70" s="633">
        <f>SUM(G71:AK71)</f>
        <v>0</v>
      </c>
      <c r="AM70" s="634"/>
      <c r="AN70" s="635"/>
      <c r="AO70" s="636"/>
      <c r="AP70" s="634"/>
      <c r="AQ70" s="637"/>
      <c r="AR70" s="637"/>
    </row>
    <row r="71" spans="1:44" ht="15.9" customHeight="1">
      <c r="A71" s="582"/>
      <c r="B71" s="1655"/>
      <c r="C71" s="1656"/>
      <c r="D71" s="1657"/>
      <c r="E71" s="1658"/>
      <c r="F71" s="638" t="s">
        <v>1234</v>
      </c>
      <c r="G71" s="639" t="str">
        <f t="shared" ref="G71:AK71" si="31">IF(G70&lt;&gt;"",VLOOKUP(G70,$AC$197:$AL$221,9,FALSE),"")</f>
        <v/>
      </c>
      <c r="H71" s="640" t="str">
        <f t="shared" si="31"/>
        <v/>
      </c>
      <c r="I71" s="640" t="str">
        <f t="shared" si="31"/>
        <v/>
      </c>
      <c r="J71" s="640" t="str">
        <f t="shared" si="31"/>
        <v/>
      </c>
      <c r="K71" s="640" t="str">
        <f t="shared" si="31"/>
        <v/>
      </c>
      <c r="L71" s="640" t="str">
        <f t="shared" si="31"/>
        <v/>
      </c>
      <c r="M71" s="641" t="str">
        <f t="shared" si="31"/>
        <v/>
      </c>
      <c r="N71" s="639" t="str">
        <f t="shared" si="31"/>
        <v/>
      </c>
      <c r="O71" s="640" t="str">
        <f t="shared" si="31"/>
        <v/>
      </c>
      <c r="P71" s="640" t="str">
        <f t="shared" si="31"/>
        <v/>
      </c>
      <c r="Q71" s="640" t="str">
        <f t="shared" si="31"/>
        <v/>
      </c>
      <c r="R71" s="640" t="str">
        <f t="shared" si="31"/>
        <v/>
      </c>
      <c r="S71" s="640" t="str">
        <f t="shared" si="31"/>
        <v/>
      </c>
      <c r="T71" s="641" t="str">
        <f t="shared" si="31"/>
        <v/>
      </c>
      <c r="U71" s="639" t="str">
        <f t="shared" si="31"/>
        <v/>
      </c>
      <c r="V71" s="640" t="str">
        <f t="shared" si="31"/>
        <v/>
      </c>
      <c r="W71" s="640" t="str">
        <f t="shared" si="31"/>
        <v/>
      </c>
      <c r="X71" s="640" t="str">
        <f t="shared" si="31"/>
        <v/>
      </c>
      <c r="Y71" s="640" t="str">
        <f t="shared" si="31"/>
        <v/>
      </c>
      <c r="Z71" s="640" t="str">
        <f t="shared" si="31"/>
        <v/>
      </c>
      <c r="AA71" s="641" t="str">
        <f t="shared" si="31"/>
        <v/>
      </c>
      <c r="AB71" s="639" t="str">
        <f t="shared" si="31"/>
        <v/>
      </c>
      <c r="AC71" s="640" t="str">
        <f t="shared" si="31"/>
        <v/>
      </c>
      <c r="AD71" s="640" t="str">
        <f t="shared" si="31"/>
        <v/>
      </c>
      <c r="AE71" s="640" t="str">
        <f t="shared" si="31"/>
        <v/>
      </c>
      <c r="AF71" s="640" t="str">
        <f t="shared" si="31"/>
        <v/>
      </c>
      <c r="AG71" s="640" t="str">
        <f t="shared" si="31"/>
        <v/>
      </c>
      <c r="AH71" s="641" t="str">
        <f t="shared" si="31"/>
        <v/>
      </c>
      <c r="AI71" s="642" t="str">
        <f t="shared" si="31"/>
        <v/>
      </c>
      <c r="AJ71" s="640" t="str">
        <f t="shared" si="31"/>
        <v/>
      </c>
      <c r="AK71" s="640" t="str">
        <f t="shared" si="31"/>
        <v/>
      </c>
      <c r="AL71" s="643">
        <f>SUM(G71:AH71)</f>
        <v>0</v>
      </c>
      <c r="AM71" s="644">
        <f>AL71/4</f>
        <v>0</v>
      </c>
      <c r="AN71" s="645" t="str">
        <f>IF(C70="","",C70)</f>
        <v/>
      </c>
      <c r="AO71" s="646" t="str">
        <f>IF(D70="","",D70)</f>
        <v/>
      </c>
      <c r="AP71" s="647" t="str">
        <f>IF(D70&lt;&gt;"",VLOOKUP(D70,$AU$2:$AV$6,2,FALSE),"")</f>
        <v/>
      </c>
      <c r="AQ71" s="644">
        <f>ROUNDDOWN(AL71/$AL$6,2)</f>
        <v>0</v>
      </c>
      <c r="AR71" s="644">
        <f>IF(AP71=1,"",AQ71)</f>
        <v>0</v>
      </c>
    </row>
    <row r="72" spans="1:44" ht="15.9" customHeight="1">
      <c r="A72" s="582"/>
      <c r="B72" s="1655" t="s">
        <v>1265</v>
      </c>
      <c r="C72" s="1640"/>
      <c r="D72" s="1642"/>
      <c r="E72" s="1644"/>
      <c r="F72" s="627" t="s">
        <v>1233</v>
      </c>
      <c r="G72" s="628"/>
      <c r="H72" s="629"/>
      <c r="I72" s="630"/>
      <c r="J72" s="630"/>
      <c r="K72" s="630"/>
      <c r="L72" s="630"/>
      <c r="M72" s="631"/>
      <c r="N72" s="628"/>
      <c r="O72" s="629"/>
      <c r="P72" s="630"/>
      <c r="Q72" s="630"/>
      <c r="R72" s="630"/>
      <c r="S72" s="630"/>
      <c r="T72" s="631"/>
      <c r="U72" s="628"/>
      <c r="V72" s="629"/>
      <c r="W72" s="630"/>
      <c r="X72" s="630"/>
      <c r="Y72" s="630"/>
      <c r="Z72" s="630"/>
      <c r="AA72" s="631"/>
      <c r="AB72" s="628"/>
      <c r="AC72" s="629"/>
      <c r="AD72" s="630"/>
      <c r="AE72" s="630"/>
      <c r="AF72" s="630"/>
      <c r="AG72" s="630"/>
      <c r="AH72" s="631"/>
      <c r="AI72" s="648"/>
      <c r="AJ72" s="629"/>
      <c r="AK72" s="629"/>
      <c r="AL72" s="633">
        <f>SUM(G73:AK73)</f>
        <v>0</v>
      </c>
      <c r="AM72" s="634"/>
      <c r="AN72" s="635"/>
      <c r="AO72" s="636"/>
      <c r="AP72" s="634"/>
      <c r="AQ72" s="637"/>
      <c r="AR72" s="637"/>
    </row>
    <row r="73" spans="1:44" ht="15.9" customHeight="1">
      <c r="A73" s="582"/>
      <c r="B73" s="1655"/>
      <c r="C73" s="1656"/>
      <c r="D73" s="1657"/>
      <c r="E73" s="1658"/>
      <c r="F73" s="638" t="s">
        <v>1234</v>
      </c>
      <c r="G73" s="639" t="str">
        <f t="shared" ref="G73:AK73" si="32">IF(G72&lt;&gt;"",VLOOKUP(G72,$AC$197:$AL$221,9,FALSE),"")</f>
        <v/>
      </c>
      <c r="H73" s="640" t="str">
        <f t="shared" si="32"/>
        <v/>
      </c>
      <c r="I73" s="640" t="str">
        <f t="shared" si="32"/>
        <v/>
      </c>
      <c r="J73" s="640" t="str">
        <f t="shared" si="32"/>
        <v/>
      </c>
      <c r="K73" s="640" t="str">
        <f t="shared" si="32"/>
        <v/>
      </c>
      <c r="L73" s="640" t="str">
        <f t="shared" si="32"/>
        <v/>
      </c>
      <c r="M73" s="641" t="str">
        <f t="shared" si="32"/>
        <v/>
      </c>
      <c r="N73" s="639" t="str">
        <f t="shared" si="32"/>
        <v/>
      </c>
      <c r="O73" s="640" t="str">
        <f t="shared" si="32"/>
        <v/>
      </c>
      <c r="P73" s="640" t="str">
        <f t="shared" si="32"/>
        <v/>
      </c>
      <c r="Q73" s="640" t="str">
        <f t="shared" si="32"/>
        <v/>
      </c>
      <c r="R73" s="640" t="str">
        <f t="shared" si="32"/>
        <v/>
      </c>
      <c r="S73" s="640" t="str">
        <f t="shared" si="32"/>
        <v/>
      </c>
      <c r="T73" s="641" t="str">
        <f t="shared" si="32"/>
        <v/>
      </c>
      <c r="U73" s="639" t="str">
        <f t="shared" si="32"/>
        <v/>
      </c>
      <c r="V73" s="640" t="str">
        <f t="shared" si="32"/>
        <v/>
      </c>
      <c r="W73" s="640" t="str">
        <f t="shared" si="32"/>
        <v/>
      </c>
      <c r="X73" s="640" t="str">
        <f t="shared" si="32"/>
        <v/>
      </c>
      <c r="Y73" s="640" t="str">
        <f t="shared" si="32"/>
        <v/>
      </c>
      <c r="Z73" s="640" t="str">
        <f t="shared" si="32"/>
        <v/>
      </c>
      <c r="AA73" s="641" t="str">
        <f t="shared" si="32"/>
        <v/>
      </c>
      <c r="AB73" s="639" t="str">
        <f t="shared" si="32"/>
        <v/>
      </c>
      <c r="AC73" s="640" t="str">
        <f t="shared" si="32"/>
        <v/>
      </c>
      <c r="AD73" s="640" t="str">
        <f t="shared" si="32"/>
        <v/>
      </c>
      <c r="AE73" s="640" t="str">
        <f t="shared" si="32"/>
        <v/>
      </c>
      <c r="AF73" s="640" t="str">
        <f t="shared" si="32"/>
        <v/>
      </c>
      <c r="AG73" s="640" t="str">
        <f t="shared" si="32"/>
        <v/>
      </c>
      <c r="AH73" s="641" t="str">
        <f t="shared" si="32"/>
        <v/>
      </c>
      <c r="AI73" s="642" t="str">
        <f t="shared" si="32"/>
        <v/>
      </c>
      <c r="AJ73" s="640" t="str">
        <f t="shared" si="32"/>
        <v/>
      </c>
      <c r="AK73" s="640" t="str">
        <f t="shared" si="32"/>
        <v/>
      </c>
      <c r="AL73" s="643">
        <f>SUM(G73:AH73)</f>
        <v>0</v>
      </c>
      <c r="AM73" s="644">
        <f>AL73/4</f>
        <v>0</v>
      </c>
      <c r="AN73" s="645" t="str">
        <f>IF(C72="","",C72)</f>
        <v/>
      </c>
      <c r="AO73" s="646" t="str">
        <f>IF(D72="","",D72)</f>
        <v/>
      </c>
      <c r="AP73" s="647" t="str">
        <f>IF(D72&lt;&gt;"",VLOOKUP(D72,$AU$2:$AV$6,2,FALSE),"")</f>
        <v/>
      </c>
      <c r="AQ73" s="644">
        <f>ROUNDDOWN(AL73/$AL$6,2)</f>
        <v>0</v>
      </c>
      <c r="AR73" s="644">
        <f>IF(AP73=1,"",AQ73)</f>
        <v>0</v>
      </c>
    </row>
    <row r="74" spans="1:44" ht="15.9" customHeight="1">
      <c r="A74" s="582"/>
      <c r="B74" s="1655" t="s">
        <v>1266</v>
      </c>
      <c r="C74" s="1640"/>
      <c r="D74" s="1642"/>
      <c r="E74" s="1644"/>
      <c r="F74" s="627" t="s">
        <v>1233</v>
      </c>
      <c r="G74" s="628"/>
      <c r="H74" s="629"/>
      <c r="I74" s="630"/>
      <c r="J74" s="630"/>
      <c r="K74" s="630"/>
      <c r="L74" s="630"/>
      <c r="M74" s="631"/>
      <c r="N74" s="628"/>
      <c r="O74" s="629"/>
      <c r="P74" s="630"/>
      <c r="Q74" s="630"/>
      <c r="R74" s="630"/>
      <c r="S74" s="630"/>
      <c r="T74" s="631"/>
      <c r="U74" s="628"/>
      <c r="V74" s="629"/>
      <c r="W74" s="630"/>
      <c r="X74" s="630"/>
      <c r="Y74" s="630"/>
      <c r="Z74" s="630"/>
      <c r="AA74" s="631"/>
      <c r="AB74" s="628"/>
      <c r="AC74" s="629"/>
      <c r="AD74" s="630"/>
      <c r="AE74" s="630"/>
      <c r="AF74" s="630"/>
      <c r="AG74" s="630"/>
      <c r="AH74" s="631"/>
      <c r="AI74" s="632"/>
      <c r="AJ74" s="630"/>
      <c r="AK74" s="630"/>
      <c r="AL74" s="633">
        <f>SUM(G75:AK75)</f>
        <v>0</v>
      </c>
      <c r="AM74" s="634"/>
      <c r="AN74" s="635"/>
      <c r="AO74" s="636"/>
      <c r="AP74" s="634"/>
      <c r="AQ74" s="637"/>
      <c r="AR74" s="637"/>
    </row>
    <row r="75" spans="1:44" ht="15.9" customHeight="1">
      <c r="A75" s="582"/>
      <c r="B75" s="1655"/>
      <c r="C75" s="1656"/>
      <c r="D75" s="1657"/>
      <c r="E75" s="1658"/>
      <c r="F75" s="638" t="s">
        <v>1234</v>
      </c>
      <c r="G75" s="639" t="str">
        <f t="shared" ref="G75:AK75" si="33">IF(G74&lt;&gt;"",VLOOKUP(G74,$AC$197:$AL$221,9,FALSE),"")</f>
        <v/>
      </c>
      <c r="H75" s="640" t="str">
        <f t="shared" si="33"/>
        <v/>
      </c>
      <c r="I75" s="640" t="str">
        <f t="shared" si="33"/>
        <v/>
      </c>
      <c r="J75" s="640" t="str">
        <f t="shared" si="33"/>
        <v/>
      </c>
      <c r="K75" s="640" t="str">
        <f t="shared" si="33"/>
        <v/>
      </c>
      <c r="L75" s="640" t="str">
        <f t="shared" si="33"/>
        <v/>
      </c>
      <c r="M75" s="641" t="str">
        <f t="shared" si="33"/>
        <v/>
      </c>
      <c r="N75" s="639" t="str">
        <f t="shared" si="33"/>
        <v/>
      </c>
      <c r="O75" s="640" t="str">
        <f t="shared" si="33"/>
        <v/>
      </c>
      <c r="P75" s="640" t="str">
        <f t="shared" si="33"/>
        <v/>
      </c>
      <c r="Q75" s="640" t="str">
        <f t="shared" si="33"/>
        <v/>
      </c>
      <c r="R75" s="640" t="str">
        <f t="shared" si="33"/>
        <v/>
      </c>
      <c r="S75" s="640" t="str">
        <f t="shared" si="33"/>
        <v/>
      </c>
      <c r="T75" s="641" t="str">
        <f t="shared" si="33"/>
        <v/>
      </c>
      <c r="U75" s="639" t="str">
        <f t="shared" si="33"/>
        <v/>
      </c>
      <c r="V75" s="640" t="str">
        <f t="shared" si="33"/>
        <v/>
      </c>
      <c r="W75" s="640" t="str">
        <f t="shared" si="33"/>
        <v/>
      </c>
      <c r="X75" s="640" t="str">
        <f t="shared" si="33"/>
        <v/>
      </c>
      <c r="Y75" s="640" t="str">
        <f t="shared" si="33"/>
        <v/>
      </c>
      <c r="Z75" s="640" t="str">
        <f t="shared" si="33"/>
        <v/>
      </c>
      <c r="AA75" s="641" t="str">
        <f t="shared" si="33"/>
        <v/>
      </c>
      <c r="AB75" s="639" t="str">
        <f t="shared" si="33"/>
        <v/>
      </c>
      <c r="AC75" s="640" t="str">
        <f t="shared" si="33"/>
        <v/>
      </c>
      <c r="AD75" s="640" t="str">
        <f t="shared" si="33"/>
        <v/>
      </c>
      <c r="AE75" s="640" t="str">
        <f t="shared" si="33"/>
        <v/>
      </c>
      <c r="AF75" s="640" t="str">
        <f t="shared" si="33"/>
        <v/>
      </c>
      <c r="AG75" s="640" t="str">
        <f t="shared" si="33"/>
        <v/>
      </c>
      <c r="AH75" s="641" t="str">
        <f t="shared" si="33"/>
        <v/>
      </c>
      <c r="AI75" s="642" t="str">
        <f t="shared" si="33"/>
        <v/>
      </c>
      <c r="AJ75" s="640" t="str">
        <f t="shared" si="33"/>
        <v/>
      </c>
      <c r="AK75" s="640" t="str">
        <f t="shared" si="33"/>
        <v/>
      </c>
      <c r="AL75" s="643">
        <f>SUM(G75:AH75)</f>
        <v>0</v>
      </c>
      <c r="AM75" s="644">
        <f>AL75/4</f>
        <v>0</v>
      </c>
      <c r="AN75" s="645" t="str">
        <f>IF(C74="","",C74)</f>
        <v/>
      </c>
      <c r="AO75" s="646" t="str">
        <f>IF(D74="","",D74)</f>
        <v/>
      </c>
      <c r="AP75" s="647" t="str">
        <f>IF(D74&lt;&gt;"",VLOOKUP(D74,$AU$2:$AV$6,2,FALSE),"")</f>
        <v/>
      </c>
      <c r="AQ75" s="644">
        <f>ROUNDDOWN(AL75/$AL$6,2)</f>
        <v>0</v>
      </c>
      <c r="AR75" s="644">
        <f>IF(AP75=1,"",AQ75)</f>
        <v>0</v>
      </c>
    </row>
    <row r="76" spans="1:44" ht="15.9" customHeight="1">
      <c r="A76" s="582"/>
      <c r="B76" s="1655" t="s">
        <v>1267</v>
      </c>
      <c r="C76" s="1640"/>
      <c r="D76" s="1642"/>
      <c r="E76" s="1644"/>
      <c r="F76" s="627" t="s">
        <v>1233</v>
      </c>
      <c r="G76" s="628"/>
      <c r="H76" s="629"/>
      <c r="I76" s="630"/>
      <c r="J76" s="630"/>
      <c r="K76" s="630"/>
      <c r="L76" s="630"/>
      <c r="M76" s="631"/>
      <c r="N76" s="628"/>
      <c r="O76" s="629"/>
      <c r="P76" s="630"/>
      <c r="Q76" s="630"/>
      <c r="R76" s="630"/>
      <c r="S76" s="630"/>
      <c r="T76" s="631"/>
      <c r="U76" s="628"/>
      <c r="V76" s="629"/>
      <c r="W76" s="630"/>
      <c r="X76" s="630"/>
      <c r="Y76" s="630"/>
      <c r="Z76" s="630"/>
      <c r="AA76" s="631"/>
      <c r="AB76" s="628"/>
      <c r="AC76" s="629"/>
      <c r="AD76" s="630"/>
      <c r="AE76" s="630"/>
      <c r="AF76" s="630"/>
      <c r="AG76" s="630"/>
      <c r="AH76" s="631"/>
      <c r="AI76" s="632"/>
      <c r="AJ76" s="630"/>
      <c r="AK76" s="630"/>
      <c r="AL76" s="633">
        <f>SUM(G77:AK77)</f>
        <v>0</v>
      </c>
      <c r="AM76" s="634"/>
      <c r="AN76" s="635"/>
      <c r="AO76" s="636"/>
      <c r="AP76" s="634"/>
      <c r="AQ76" s="637"/>
      <c r="AR76" s="637"/>
    </row>
    <row r="77" spans="1:44" ht="15.9" customHeight="1">
      <c r="A77" s="582"/>
      <c r="B77" s="1655"/>
      <c r="C77" s="1656"/>
      <c r="D77" s="1657"/>
      <c r="E77" s="1658"/>
      <c r="F77" s="638" t="s">
        <v>1234</v>
      </c>
      <c r="G77" s="639" t="str">
        <f t="shared" ref="G77:AK77" si="34">IF(G76&lt;&gt;"",VLOOKUP(G76,$AC$197:$AL$221,9,FALSE),"")</f>
        <v/>
      </c>
      <c r="H77" s="640" t="str">
        <f t="shared" si="34"/>
        <v/>
      </c>
      <c r="I77" s="640" t="str">
        <f t="shared" si="34"/>
        <v/>
      </c>
      <c r="J77" s="640" t="str">
        <f t="shared" si="34"/>
        <v/>
      </c>
      <c r="K77" s="640" t="str">
        <f t="shared" si="34"/>
        <v/>
      </c>
      <c r="L77" s="640" t="str">
        <f t="shared" si="34"/>
        <v/>
      </c>
      <c r="M77" s="641" t="str">
        <f t="shared" si="34"/>
        <v/>
      </c>
      <c r="N77" s="639" t="str">
        <f t="shared" si="34"/>
        <v/>
      </c>
      <c r="O77" s="640" t="str">
        <f t="shared" si="34"/>
        <v/>
      </c>
      <c r="P77" s="640" t="str">
        <f t="shared" si="34"/>
        <v/>
      </c>
      <c r="Q77" s="640" t="str">
        <f t="shared" si="34"/>
        <v/>
      </c>
      <c r="R77" s="640" t="str">
        <f t="shared" si="34"/>
        <v/>
      </c>
      <c r="S77" s="640" t="str">
        <f t="shared" si="34"/>
        <v/>
      </c>
      <c r="T77" s="641" t="str">
        <f t="shared" si="34"/>
        <v/>
      </c>
      <c r="U77" s="639" t="str">
        <f t="shared" si="34"/>
        <v/>
      </c>
      <c r="V77" s="640" t="str">
        <f t="shared" si="34"/>
        <v/>
      </c>
      <c r="W77" s="640" t="str">
        <f t="shared" si="34"/>
        <v/>
      </c>
      <c r="X77" s="640" t="str">
        <f t="shared" si="34"/>
        <v/>
      </c>
      <c r="Y77" s="640" t="str">
        <f t="shared" si="34"/>
        <v/>
      </c>
      <c r="Z77" s="640" t="str">
        <f t="shared" si="34"/>
        <v/>
      </c>
      <c r="AA77" s="641" t="str">
        <f t="shared" si="34"/>
        <v/>
      </c>
      <c r="AB77" s="639" t="str">
        <f t="shared" si="34"/>
        <v/>
      </c>
      <c r="AC77" s="640" t="str">
        <f t="shared" si="34"/>
        <v/>
      </c>
      <c r="AD77" s="640" t="str">
        <f t="shared" si="34"/>
        <v/>
      </c>
      <c r="AE77" s="640" t="str">
        <f t="shared" si="34"/>
        <v/>
      </c>
      <c r="AF77" s="640" t="str">
        <f t="shared" si="34"/>
        <v/>
      </c>
      <c r="AG77" s="640" t="str">
        <f t="shared" si="34"/>
        <v/>
      </c>
      <c r="AH77" s="641" t="str">
        <f t="shared" si="34"/>
        <v/>
      </c>
      <c r="AI77" s="642" t="str">
        <f t="shared" si="34"/>
        <v/>
      </c>
      <c r="AJ77" s="640" t="str">
        <f t="shared" si="34"/>
        <v/>
      </c>
      <c r="AK77" s="640" t="str">
        <f t="shared" si="34"/>
        <v/>
      </c>
      <c r="AL77" s="643">
        <f>SUM(G77:AH77)</f>
        <v>0</v>
      </c>
      <c r="AM77" s="644">
        <f>AL77/4</f>
        <v>0</v>
      </c>
      <c r="AN77" s="645" t="str">
        <f>IF(C76="","",C76)</f>
        <v/>
      </c>
      <c r="AO77" s="646" t="str">
        <f>IF(D76="","",D76)</f>
        <v/>
      </c>
      <c r="AP77" s="647" t="str">
        <f>IF(D76&lt;&gt;"",VLOOKUP(D76,$AU$2:$AV$6,2,FALSE),"")</f>
        <v/>
      </c>
      <c r="AQ77" s="644">
        <f>ROUNDDOWN(AL77/$AL$6,2)</f>
        <v>0</v>
      </c>
      <c r="AR77" s="644">
        <f>IF(AP77=1,"",AQ77)</f>
        <v>0</v>
      </c>
    </row>
    <row r="78" spans="1:44" ht="15.9" hidden="1" customHeight="1">
      <c r="A78" s="582"/>
      <c r="B78" s="1655" t="s">
        <v>1268</v>
      </c>
      <c r="C78" s="1640"/>
      <c r="D78" s="1642"/>
      <c r="E78" s="1644"/>
      <c r="F78" s="627" t="s">
        <v>1233</v>
      </c>
      <c r="G78" s="628"/>
      <c r="H78" s="629"/>
      <c r="I78" s="630"/>
      <c r="J78" s="630"/>
      <c r="K78" s="630"/>
      <c r="L78" s="630"/>
      <c r="M78" s="631"/>
      <c r="N78" s="628"/>
      <c r="O78" s="629"/>
      <c r="P78" s="630"/>
      <c r="Q78" s="630"/>
      <c r="R78" s="630"/>
      <c r="S78" s="630"/>
      <c r="T78" s="631"/>
      <c r="U78" s="628"/>
      <c r="V78" s="629"/>
      <c r="W78" s="630"/>
      <c r="X78" s="630"/>
      <c r="Y78" s="630"/>
      <c r="Z78" s="630"/>
      <c r="AA78" s="631"/>
      <c r="AB78" s="628"/>
      <c r="AC78" s="629"/>
      <c r="AD78" s="630"/>
      <c r="AE78" s="630"/>
      <c r="AF78" s="630"/>
      <c r="AG78" s="630"/>
      <c r="AH78" s="631"/>
      <c r="AI78" s="648"/>
      <c r="AJ78" s="629"/>
      <c r="AK78" s="629"/>
      <c r="AL78" s="633">
        <f>SUM(G79:AK79)</f>
        <v>0</v>
      </c>
      <c r="AM78" s="634"/>
      <c r="AN78" s="635"/>
      <c r="AO78" s="636"/>
      <c r="AP78" s="634"/>
      <c r="AQ78" s="637"/>
      <c r="AR78" s="637"/>
    </row>
    <row r="79" spans="1:44" ht="15.9" hidden="1" customHeight="1">
      <c r="A79" s="582"/>
      <c r="B79" s="1655"/>
      <c r="C79" s="1656"/>
      <c r="D79" s="1657"/>
      <c r="E79" s="1658"/>
      <c r="F79" s="638" t="s">
        <v>1234</v>
      </c>
      <c r="G79" s="639" t="str">
        <f t="shared" ref="G79:AK79" si="35">IF(G78&lt;&gt;"",VLOOKUP(G78,$AC$197:$AL$221,9,FALSE),"")</f>
        <v/>
      </c>
      <c r="H79" s="640" t="str">
        <f t="shared" si="35"/>
        <v/>
      </c>
      <c r="I79" s="640" t="str">
        <f t="shared" si="35"/>
        <v/>
      </c>
      <c r="J79" s="640" t="str">
        <f t="shared" si="35"/>
        <v/>
      </c>
      <c r="K79" s="640" t="str">
        <f t="shared" si="35"/>
        <v/>
      </c>
      <c r="L79" s="640" t="str">
        <f t="shared" si="35"/>
        <v/>
      </c>
      <c r="M79" s="641" t="str">
        <f t="shared" si="35"/>
        <v/>
      </c>
      <c r="N79" s="639" t="str">
        <f t="shared" si="35"/>
        <v/>
      </c>
      <c r="O79" s="640" t="str">
        <f t="shared" si="35"/>
        <v/>
      </c>
      <c r="P79" s="640" t="str">
        <f t="shared" si="35"/>
        <v/>
      </c>
      <c r="Q79" s="640" t="str">
        <f t="shared" si="35"/>
        <v/>
      </c>
      <c r="R79" s="640" t="str">
        <f t="shared" si="35"/>
        <v/>
      </c>
      <c r="S79" s="640" t="str">
        <f t="shared" si="35"/>
        <v/>
      </c>
      <c r="T79" s="641" t="str">
        <f t="shared" si="35"/>
        <v/>
      </c>
      <c r="U79" s="639" t="str">
        <f t="shared" si="35"/>
        <v/>
      </c>
      <c r="V79" s="640" t="str">
        <f t="shared" si="35"/>
        <v/>
      </c>
      <c r="W79" s="640" t="str">
        <f t="shared" si="35"/>
        <v/>
      </c>
      <c r="X79" s="640" t="str">
        <f t="shared" si="35"/>
        <v/>
      </c>
      <c r="Y79" s="640" t="str">
        <f t="shared" si="35"/>
        <v/>
      </c>
      <c r="Z79" s="640" t="str">
        <f t="shared" si="35"/>
        <v/>
      </c>
      <c r="AA79" s="641" t="str">
        <f t="shared" si="35"/>
        <v/>
      </c>
      <c r="AB79" s="639" t="str">
        <f t="shared" si="35"/>
        <v/>
      </c>
      <c r="AC79" s="640" t="str">
        <f t="shared" si="35"/>
        <v/>
      </c>
      <c r="AD79" s="640" t="str">
        <f t="shared" si="35"/>
        <v/>
      </c>
      <c r="AE79" s="640" t="str">
        <f t="shared" si="35"/>
        <v/>
      </c>
      <c r="AF79" s="640" t="str">
        <f t="shared" si="35"/>
        <v/>
      </c>
      <c r="AG79" s="640" t="str">
        <f t="shared" si="35"/>
        <v/>
      </c>
      <c r="AH79" s="641" t="str">
        <f t="shared" si="35"/>
        <v/>
      </c>
      <c r="AI79" s="642" t="str">
        <f t="shared" si="35"/>
        <v/>
      </c>
      <c r="AJ79" s="640" t="str">
        <f t="shared" si="35"/>
        <v/>
      </c>
      <c r="AK79" s="640" t="str">
        <f t="shared" si="35"/>
        <v/>
      </c>
      <c r="AL79" s="643">
        <f>SUM(G79:AH79)</f>
        <v>0</v>
      </c>
      <c r="AM79" s="644">
        <f>AL79/4</f>
        <v>0</v>
      </c>
      <c r="AN79" s="645" t="str">
        <f>IF(C78="","",C78)</f>
        <v/>
      </c>
      <c r="AO79" s="646" t="str">
        <f>IF(D78="","",D78)</f>
        <v/>
      </c>
      <c r="AP79" s="647" t="str">
        <f>IF(D78&lt;&gt;"",VLOOKUP(D78,$AU$2:$AV$6,2,FALSE),"")</f>
        <v/>
      </c>
      <c r="AQ79" s="644">
        <f>ROUNDDOWN(AL79/$AL$6,2)</f>
        <v>0</v>
      </c>
      <c r="AR79" s="644">
        <f>IF(AP79=1,"",AQ79)</f>
        <v>0</v>
      </c>
    </row>
    <row r="80" spans="1:44" ht="15.9" hidden="1" customHeight="1">
      <c r="A80" s="582"/>
      <c r="B80" s="1655" t="s">
        <v>1269</v>
      </c>
      <c r="C80" s="1640"/>
      <c r="D80" s="1642"/>
      <c r="E80" s="1644"/>
      <c r="F80" s="627" t="s">
        <v>1233</v>
      </c>
      <c r="G80" s="628"/>
      <c r="H80" s="629"/>
      <c r="I80" s="630"/>
      <c r="J80" s="630"/>
      <c r="K80" s="630"/>
      <c r="L80" s="630"/>
      <c r="M80" s="631"/>
      <c r="N80" s="628"/>
      <c r="O80" s="629"/>
      <c r="P80" s="630"/>
      <c r="Q80" s="630"/>
      <c r="R80" s="630"/>
      <c r="S80" s="630"/>
      <c r="T80" s="631"/>
      <c r="U80" s="628"/>
      <c r="V80" s="629"/>
      <c r="W80" s="630"/>
      <c r="X80" s="630"/>
      <c r="Y80" s="630"/>
      <c r="Z80" s="630"/>
      <c r="AA80" s="631"/>
      <c r="AB80" s="628"/>
      <c r="AC80" s="629"/>
      <c r="AD80" s="630"/>
      <c r="AE80" s="630"/>
      <c r="AF80" s="630"/>
      <c r="AG80" s="630"/>
      <c r="AH80" s="631"/>
      <c r="AI80" s="648"/>
      <c r="AJ80" s="629"/>
      <c r="AK80" s="629"/>
      <c r="AL80" s="633">
        <f>SUM(G81:AK81)</f>
        <v>0</v>
      </c>
      <c r="AM80" s="634"/>
      <c r="AN80" s="635"/>
      <c r="AO80" s="636"/>
      <c r="AP80" s="634"/>
      <c r="AQ80" s="637"/>
      <c r="AR80" s="637"/>
    </row>
    <row r="81" spans="1:44" ht="15.9" hidden="1" customHeight="1">
      <c r="A81" s="582"/>
      <c r="B81" s="1655"/>
      <c r="C81" s="1656"/>
      <c r="D81" s="1657"/>
      <c r="E81" s="1658"/>
      <c r="F81" s="638" t="s">
        <v>1234</v>
      </c>
      <c r="G81" s="639" t="str">
        <f t="shared" ref="G81:AK81" si="36">IF(G80&lt;&gt;"",VLOOKUP(G80,$AC$197:$AL$221,9,FALSE),"")</f>
        <v/>
      </c>
      <c r="H81" s="640" t="str">
        <f t="shared" si="36"/>
        <v/>
      </c>
      <c r="I81" s="640" t="str">
        <f t="shared" si="36"/>
        <v/>
      </c>
      <c r="J81" s="640" t="str">
        <f t="shared" si="36"/>
        <v/>
      </c>
      <c r="K81" s="640" t="str">
        <f t="shared" si="36"/>
        <v/>
      </c>
      <c r="L81" s="640" t="str">
        <f t="shared" si="36"/>
        <v/>
      </c>
      <c r="M81" s="641" t="str">
        <f t="shared" si="36"/>
        <v/>
      </c>
      <c r="N81" s="639" t="str">
        <f t="shared" si="36"/>
        <v/>
      </c>
      <c r="O81" s="640" t="str">
        <f t="shared" si="36"/>
        <v/>
      </c>
      <c r="P81" s="640" t="str">
        <f t="shared" si="36"/>
        <v/>
      </c>
      <c r="Q81" s="640" t="str">
        <f t="shared" si="36"/>
        <v/>
      </c>
      <c r="R81" s="640" t="str">
        <f t="shared" si="36"/>
        <v/>
      </c>
      <c r="S81" s="640" t="str">
        <f t="shared" si="36"/>
        <v/>
      </c>
      <c r="T81" s="641" t="str">
        <f t="shared" si="36"/>
        <v/>
      </c>
      <c r="U81" s="639" t="str">
        <f t="shared" si="36"/>
        <v/>
      </c>
      <c r="V81" s="640" t="str">
        <f t="shared" si="36"/>
        <v/>
      </c>
      <c r="W81" s="640" t="str">
        <f t="shared" si="36"/>
        <v/>
      </c>
      <c r="X81" s="640" t="str">
        <f t="shared" si="36"/>
        <v/>
      </c>
      <c r="Y81" s="640" t="str">
        <f t="shared" si="36"/>
        <v/>
      </c>
      <c r="Z81" s="640" t="str">
        <f t="shared" si="36"/>
        <v/>
      </c>
      <c r="AA81" s="641" t="str">
        <f t="shared" si="36"/>
        <v/>
      </c>
      <c r="AB81" s="639" t="str">
        <f t="shared" si="36"/>
        <v/>
      </c>
      <c r="AC81" s="640" t="str">
        <f t="shared" si="36"/>
        <v/>
      </c>
      <c r="AD81" s="640" t="str">
        <f t="shared" si="36"/>
        <v/>
      </c>
      <c r="AE81" s="640" t="str">
        <f t="shared" si="36"/>
        <v/>
      </c>
      <c r="AF81" s="640" t="str">
        <f t="shared" si="36"/>
        <v/>
      </c>
      <c r="AG81" s="640" t="str">
        <f t="shared" si="36"/>
        <v/>
      </c>
      <c r="AH81" s="641" t="str">
        <f t="shared" si="36"/>
        <v/>
      </c>
      <c r="AI81" s="642" t="str">
        <f t="shared" si="36"/>
        <v/>
      </c>
      <c r="AJ81" s="640" t="str">
        <f t="shared" si="36"/>
        <v/>
      </c>
      <c r="AK81" s="640" t="str">
        <f t="shared" si="36"/>
        <v/>
      </c>
      <c r="AL81" s="643">
        <f>SUM(G81:AH81)</f>
        <v>0</v>
      </c>
      <c r="AM81" s="644">
        <f>AL81/4</f>
        <v>0</v>
      </c>
      <c r="AN81" s="645" t="str">
        <f>IF(C80="","",C80)</f>
        <v/>
      </c>
      <c r="AO81" s="646" t="str">
        <f>IF(D80="","",D80)</f>
        <v/>
      </c>
      <c r="AP81" s="647" t="str">
        <f>IF(D80&lt;&gt;"",VLOOKUP(D80,$AU$2:$AV$6,2,FALSE),"")</f>
        <v/>
      </c>
      <c r="AQ81" s="644">
        <f>ROUNDDOWN(AL81/$AL$6,2)</f>
        <v>0</v>
      </c>
      <c r="AR81" s="644">
        <f>IF(AP81=1,"",AQ81)</f>
        <v>0</v>
      </c>
    </row>
    <row r="82" spans="1:44" ht="15.9" hidden="1" customHeight="1">
      <c r="A82" s="582"/>
      <c r="B82" s="1655" t="s">
        <v>1270</v>
      </c>
      <c r="C82" s="1640"/>
      <c r="D82" s="1642"/>
      <c r="E82" s="1644"/>
      <c r="F82" s="627" t="s">
        <v>1233</v>
      </c>
      <c r="G82" s="628"/>
      <c r="H82" s="629"/>
      <c r="I82" s="630"/>
      <c r="J82" s="630"/>
      <c r="K82" s="630"/>
      <c r="L82" s="630"/>
      <c r="M82" s="631"/>
      <c r="N82" s="628"/>
      <c r="O82" s="629"/>
      <c r="P82" s="630"/>
      <c r="Q82" s="630"/>
      <c r="R82" s="630"/>
      <c r="S82" s="630"/>
      <c r="T82" s="631"/>
      <c r="U82" s="628"/>
      <c r="V82" s="629"/>
      <c r="W82" s="630"/>
      <c r="X82" s="630"/>
      <c r="Y82" s="630"/>
      <c r="Z82" s="630"/>
      <c r="AA82" s="631"/>
      <c r="AB82" s="628"/>
      <c r="AC82" s="629"/>
      <c r="AD82" s="630"/>
      <c r="AE82" s="630"/>
      <c r="AF82" s="630"/>
      <c r="AG82" s="630"/>
      <c r="AH82" s="631"/>
      <c r="AI82" s="632"/>
      <c r="AJ82" s="630"/>
      <c r="AK82" s="630"/>
      <c r="AL82" s="633">
        <f>SUM(G83:AK83)</f>
        <v>0</v>
      </c>
      <c r="AM82" s="634"/>
      <c r="AN82" s="635"/>
      <c r="AO82" s="636"/>
      <c r="AP82" s="634"/>
      <c r="AQ82" s="637"/>
      <c r="AR82" s="637"/>
    </row>
    <row r="83" spans="1:44" ht="15.9" hidden="1" customHeight="1">
      <c r="A83" s="582"/>
      <c r="B83" s="1655"/>
      <c r="C83" s="1656"/>
      <c r="D83" s="1657"/>
      <c r="E83" s="1658"/>
      <c r="F83" s="638" t="s">
        <v>1234</v>
      </c>
      <c r="G83" s="639" t="str">
        <f t="shared" ref="G83:AK83" si="37">IF(G82&lt;&gt;"",VLOOKUP(G82,$AC$197:$AL$221,9,FALSE),"")</f>
        <v/>
      </c>
      <c r="H83" s="640" t="str">
        <f t="shared" si="37"/>
        <v/>
      </c>
      <c r="I83" s="640" t="str">
        <f t="shared" si="37"/>
        <v/>
      </c>
      <c r="J83" s="640" t="str">
        <f t="shared" si="37"/>
        <v/>
      </c>
      <c r="K83" s="640" t="str">
        <f t="shared" si="37"/>
        <v/>
      </c>
      <c r="L83" s="640" t="str">
        <f t="shared" si="37"/>
        <v/>
      </c>
      <c r="M83" s="641" t="str">
        <f t="shared" si="37"/>
        <v/>
      </c>
      <c r="N83" s="639" t="str">
        <f t="shared" si="37"/>
        <v/>
      </c>
      <c r="O83" s="640" t="str">
        <f t="shared" si="37"/>
        <v/>
      </c>
      <c r="P83" s="640" t="str">
        <f t="shared" si="37"/>
        <v/>
      </c>
      <c r="Q83" s="640" t="str">
        <f t="shared" si="37"/>
        <v/>
      </c>
      <c r="R83" s="640" t="str">
        <f t="shared" si="37"/>
        <v/>
      </c>
      <c r="S83" s="640" t="str">
        <f t="shared" si="37"/>
        <v/>
      </c>
      <c r="T83" s="641" t="str">
        <f t="shared" si="37"/>
        <v/>
      </c>
      <c r="U83" s="639" t="str">
        <f t="shared" si="37"/>
        <v/>
      </c>
      <c r="V83" s="640" t="str">
        <f t="shared" si="37"/>
        <v/>
      </c>
      <c r="W83" s="640" t="str">
        <f t="shared" si="37"/>
        <v/>
      </c>
      <c r="X83" s="640" t="str">
        <f t="shared" si="37"/>
        <v/>
      </c>
      <c r="Y83" s="640" t="str">
        <f t="shared" si="37"/>
        <v/>
      </c>
      <c r="Z83" s="640" t="str">
        <f t="shared" si="37"/>
        <v/>
      </c>
      <c r="AA83" s="641" t="str">
        <f t="shared" si="37"/>
        <v/>
      </c>
      <c r="AB83" s="639" t="str">
        <f t="shared" si="37"/>
        <v/>
      </c>
      <c r="AC83" s="640" t="str">
        <f t="shared" si="37"/>
        <v/>
      </c>
      <c r="AD83" s="640" t="str">
        <f t="shared" si="37"/>
        <v/>
      </c>
      <c r="AE83" s="640" t="str">
        <f t="shared" si="37"/>
        <v/>
      </c>
      <c r="AF83" s="640" t="str">
        <f t="shared" si="37"/>
        <v/>
      </c>
      <c r="AG83" s="640" t="str">
        <f t="shared" si="37"/>
        <v/>
      </c>
      <c r="AH83" s="641" t="str">
        <f t="shared" si="37"/>
        <v/>
      </c>
      <c r="AI83" s="642" t="str">
        <f t="shared" si="37"/>
        <v/>
      </c>
      <c r="AJ83" s="640" t="str">
        <f t="shared" si="37"/>
        <v/>
      </c>
      <c r="AK83" s="640" t="str">
        <f t="shared" si="37"/>
        <v/>
      </c>
      <c r="AL83" s="643">
        <f>SUM(G83:AH83)</f>
        <v>0</v>
      </c>
      <c r="AM83" s="644">
        <f>AL83/4</f>
        <v>0</v>
      </c>
      <c r="AN83" s="645" t="str">
        <f>IF(C82="","",C82)</f>
        <v/>
      </c>
      <c r="AO83" s="646" t="str">
        <f>IF(D82="","",D82)</f>
        <v/>
      </c>
      <c r="AP83" s="647" t="str">
        <f>IF(D82&lt;&gt;"",VLOOKUP(D82,$AU$2:$AV$6,2,FALSE),"")</f>
        <v/>
      </c>
      <c r="AQ83" s="644">
        <f>ROUNDDOWN(AL83/$AL$6,2)</f>
        <v>0</v>
      </c>
      <c r="AR83" s="644">
        <f>IF(AP83=1,"",AQ83)</f>
        <v>0</v>
      </c>
    </row>
    <row r="84" spans="1:44" ht="15.9" hidden="1" customHeight="1">
      <c r="A84" s="582"/>
      <c r="B84" s="1655" t="s">
        <v>1271</v>
      </c>
      <c r="C84" s="1640"/>
      <c r="D84" s="1642"/>
      <c r="E84" s="1644"/>
      <c r="F84" s="627" t="s">
        <v>1233</v>
      </c>
      <c r="G84" s="628"/>
      <c r="H84" s="629"/>
      <c r="I84" s="630"/>
      <c r="J84" s="630"/>
      <c r="K84" s="630"/>
      <c r="L84" s="630"/>
      <c r="M84" s="631"/>
      <c r="N84" s="628"/>
      <c r="O84" s="629"/>
      <c r="P84" s="630"/>
      <c r="Q84" s="630"/>
      <c r="R84" s="630"/>
      <c r="S84" s="630"/>
      <c r="T84" s="631"/>
      <c r="U84" s="628"/>
      <c r="V84" s="629"/>
      <c r="W84" s="630"/>
      <c r="X84" s="630"/>
      <c r="Y84" s="630"/>
      <c r="Z84" s="630"/>
      <c r="AA84" s="631"/>
      <c r="AB84" s="628"/>
      <c r="AC84" s="629"/>
      <c r="AD84" s="630"/>
      <c r="AE84" s="630"/>
      <c r="AF84" s="630"/>
      <c r="AG84" s="630"/>
      <c r="AH84" s="631"/>
      <c r="AI84" s="632"/>
      <c r="AJ84" s="630"/>
      <c r="AK84" s="630"/>
      <c r="AL84" s="633">
        <f>SUM(G85:AK85)</f>
        <v>0</v>
      </c>
      <c r="AM84" s="634"/>
      <c r="AN84" s="635"/>
      <c r="AO84" s="636"/>
      <c r="AP84" s="634"/>
      <c r="AQ84" s="637"/>
      <c r="AR84" s="637"/>
    </row>
    <row r="85" spans="1:44" ht="15.9" hidden="1" customHeight="1">
      <c r="A85" s="582"/>
      <c r="B85" s="1655"/>
      <c r="C85" s="1656"/>
      <c r="D85" s="1657"/>
      <c r="E85" s="1658"/>
      <c r="F85" s="638" t="s">
        <v>1234</v>
      </c>
      <c r="G85" s="639" t="str">
        <f t="shared" ref="G85:AK85" si="38">IF(G84&lt;&gt;"",VLOOKUP(G84,$AC$197:$AL$221,9,FALSE),"")</f>
        <v/>
      </c>
      <c r="H85" s="640" t="str">
        <f t="shared" si="38"/>
        <v/>
      </c>
      <c r="I85" s="640" t="str">
        <f t="shared" si="38"/>
        <v/>
      </c>
      <c r="J85" s="640" t="str">
        <f t="shared" si="38"/>
        <v/>
      </c>
      <c r="K85" s="640" t="str">
        <f t="shared" si="38"/>
        <v/>
      </c>
      <c r="L85" s="640" t="str">
        <f t="shared" si="38"/>
        <v/>
      </c>
      <c r="M85" s="641" t="str">
        <f t="shared" si="38"/>
        <v/>
      </c>
      <c r="N85" s="639" t="str">
        <f t="shared" si="38"/>
        <v/>
      </c>
      <c r="O85" s="640" t="str">
        <f t="shared" si="38"/>
        <v/>
      </c>
      <c r="P85" s="640" t="str">
        <f t="shared" si="38"/>
        <v/>
      </c>
      <c r="Q85" s="640" t="str">
        <f t="shared" si="38"/>
        <v/>
      </c>
      <c r="R85" s="640" t="str">
        <f t="shared" si="38"/>
        <v/>
      </c>
      <c r="S85" s="640" t="str">
        <f t="shared" si="38"/>
        <v/>
      </c>
      <c r="T85" s="641" t="str">
        <f t="shared" si="38"/>
        <v/>
      </c>
      <c r="U85" s="639" t="str">
        <f t="shared" si="38"/>
        <v/>
      </c>
      <c r="V85" s="640" t="str">
        <f t="shared" si="38"/>
        <v/>
      </c>
      <c r="W85" s="640" t="str">
        <f t="shared" si="38"/>
        <v/>
      </c>
      <c r="X85" s="640" t="str">
        <f t="shared" si="38"/>
        <v/>
      </c>
      <c r="Y85" s="640" t="str">
        <f t="shared" si="38"/>
        <v/>
      </c>
      <c r="Z85" s="640" t="str">
        <f t="shared" si="38"/>
        <v/>
      </c>
      <c r="AA85" s="641" t="str">
        <f t="shared" si="38"/>
        <v/>
      </c>
      <c r="AB85" s="639" t="str">
        <f t="shared" si="38"/>
        <v/>
      </c>
      <c r="AC85" s="640" t="str">
        <f t="shared" si="38"/>
        <v/>
      </c>
      <c r="AD85" s="640" t="str">
        <f t="shared" si="38"/>
        <v/>
      </c>
      <c r="AE85" s="640" t="str">
        <f t="shared" si="38"/>
        <v/>
      </c>
      <c r="AF85" s="640" t="str">
        <f t="shared" si="38"/>
        <v/>
      </c>
      <c r="AG85" s="640" t="str">
        <f t="shared" si="38"/>
        <v/>
      </c>
      <c r="AH85" s="641" t="str">
        <f t="shared" si="38"/>
        <v/>
      </c>
      <c r="AI85" s="642" t="str">
        <f t="shared" si="38"/>
        <v/>
      </c>
      <c r="AJ85" s="640" t="str">
        <f t="shared" si="38"/>
        <v/>
      </c>
      <c r="AK85" s="640" t="str">
        <f t="shared" si="38"/>
        <v/>
      </c>
      <c r="AL85" s="643">
        <f>SUM(G85:AH85)</f>
        <v>0</v>
      </c>
      <c r="AM85" s="644">
        <f>AL85/4</f>
        <v>0</v>
      </c>
      <c r="AN85" s="645" t="str">
        <f>IF(C84="","",C84)</f>
        <v/>
      </c>
      <c r="AO85" s="646" t="str">
        <f>IF(D84="","",D84)</f>
        <v/>
      </c>
      <c r="AP85" s="647" t="str">
        <f>IF(D84&lt;&gt;"",VLOOKUP(D84,$AU$2:$AV$6,2,FALSE),"")</f>
        <v/>
      </c>
      <c r="AQ85" s="644">
        <f>ROUNDDOWN(AL85/$AL$6,2)</f>
        <v>0</v>
      </c>
      <c r="AR85" s="644">
        <f>IF(AP85=1,"",AQ85)</f>
        <v>0</v>
      </c>
    </row>
    <row r="86" spans="1:44" ht="15.9" hidden="1" customHeight="1">
      <c r="A86" s="582"/>
      <c r="B86" s="1655" t="s">
        <v>1272</v>
      </c>
      <c r="C86" s="1640"/>
      <c r="D86" s="1642"/>
      <c r="E86" s="1644"/>
      <c r="F86" s="627" t="s">
        <v>1233</v>
      </c>
      <c r="G86" s="628"/>
      <c r="H86" s="629"/>
      <c r="I86" s="630"/>
      <c r="J86" s="630"/>
      <c r="K86" s="630"/>
      <c r="L86" s="630"/>
      <c r="M86" s="631"/>
      <c r="N86" s="628"/>
      <c r="O86" s="629"/>
      <c r="P86" s="630"/>
      <c r="Q86" s="630"/>
      <c r="R86" s="630"/>
      <c r="S86" s="630"/>
      <c r="T86" s="631"/>
      <c r="U86" s="628"/>
      <c r="V86" s="629"/>
      <c r="W86" s="630"/>
      <c r="X86" s="630"/>
      <c r="Y86" s="630"/>
      <c r="Z86" s="630"/>
      <c r="AA86" s="631"/>
      <c r="AB86" s="628"/>
      <c r="AC86" s="629"/>
      <c r="AD86" s="630"/>
      <c r="AE86" s="630"/>
      <c r="AF86" s="630"/>
      <c r="AG86" s="630"/>
      <c r="AH86" s="631"/>
      <c r="AI86" s="648"/>
      <c r="AJ86" s="629"/>
      <c r="AK86" s="629"/>
      <c r="AL86" s="633">
        <f>SUM(G87:AK87)</f>
        <v>0</v>
      </c>
      <c r="AM86" s="634"/>
      <c r="AN86" s="635"/>
      <c r="AO86" s="636"/>
      <c r="AP86" s="634"/>
      <c r="AQ86" s="637"/>
      <c r="AR86" s="637"/>
    </row>
    <row r="87" spans="1:44" ht="15.9" hidden="1" customHeight="1">
      <c r="A87" s="582"/>
      <c r="B87" s="1655"/>
      <c r="C87" s="1656"/>
      <c r="D87" s="1657"/>
      <c r="E87" s="1658"/>
      <c r="F87" s="638" t="s">
        <v>1234</v>
      </c>
      <c r="G87" s="639" t="str">
        <f t="shared" ref="G87:AK87" si="39">IF(G86&lt;&gt;"",VLOOKUP(G86,$AC$197:$AL$221,9,FALSE),"")</f>
        <v/>
      </c>
      <c r="H87" s="640" t="str">
        <f t="shared" si="39"/>
        <v/>
      </c>
      <c r="I87" s="640" t="str">
        <f t="shared" si="39"/>
        <v/>
      </c>
      <c r="J87" s="640" t="str">
        <f t="shared" si="39"/>
        <v/>
      </c>
      <c r="K87" s="640" t="str">
        <f t="shared" si="39"/>
        <v/>
      </c>
      <c r="L87" s="640" t="str">
        <f t="shared" si="39"/>
        <v/>
      </c>
      <c r="M87" s="641" t="str">
        <f t="shared" si="39"/>
        <v/>
      </c>
      <c r="N87" s="639" t="str">
        <f t="shared" si="39"/>
        <v/>
      </c>
      <c r="O87" s="640" t="str">
        <f t="shared" si="39"/>
        <v/>
      </c>
      <c r="P87" s="640" t="str">
        <f t="shared" si="39"/>
        <v/>
      </c>
      <c r="Q87" s="640" t="str">
        <f t="shared" si="39"/>
        <v/>
      </c>
      <c r="R87" s="640" t="str">
        <f t="shared" si="39"/>
        <v/>
      </c>
      <c r="S87" s="640" t="str">
        <f t="shared" si="39"/>
        <v/>
      </c>
      <c r="T87" s="641" t="str">
        <f t="shared" si="39"/>
        <v/>
      </c>
      <c r="U87" s="639" t="str">
        <f t="shared" si="39"/>
        <v/>
      </c>
      <c r="V87" s="640" t="str">
        <f t="shared" si="39"/>
        <v/>
      </c>
      <c r="W87" s="640" t="str">
        <f t="shared" si="39"/>
        <v/>
      </c>
      <c r="X87" s="640" t="str">
        <f t="shared" si="39"/>
        <v/>
      </c>
      <c r="Y87" s="640" t="str">
        <f t="shared" si="39"/>
        <v/>
      </c>
      <c r="Z87" s="640" t="str">
        <f t="shared" si="39"/>
        <v/>
      </c>
      <c r="AA87" s="641" t="str">
        <f t="shared" si="39"/>
        <v/>
      </c>
      <c r="AB87" s="639" t="str">
        <f t="shared" si="39"/>
        <v/>
      </c>
      <c r="AC87" s="640" t="str">
        <f t="shared" si="39"/>
        <v/>
      </c>
      <c r="AD87" s="640" t="str">
        <f t="shared" si="39"/>
        <v/>
      </c>
      <c r="AE87" s="640" t="str">
        <f t="shared" si="39"/>
        <v/>
      </c>
      <c r="AF87" s="640" t="str">
        <f t="shared" si="39"/>
        <v/>
      </c>
      <c r="AG87" s="640" t="str">
        <f t="shared" si="39"/>
        <v/>
      </c>
      <c r="AH87" s="641" t="str">
        <f t="shared" si="39"/>
        <v/>
      </c>
      <c r="AI87" s="642" t="str">
        <f t="shared" si="39"/>
        <v/>
      </c>
      <c r="AJ87" s="640" t="str">
        <f t="shared" si="39"/>
        <v/>
      </c>
      <c r="AK87" s="640" t="str">
        <f t="shared" si="39"/>
        <v/>
      </c>
      <c r="AL87" s="643">
        <f>SUM(G87:AH87)</f>
        <v>0</v>
      </c>
      <c r="AM87" s="644">
        <f>AL87/4</f>
        <v>0</v>
      </c>
      <c r="AN87" s="645" t="str">
        <f>IF(C86="","",C86)</f>
        <v/>
      </c>
      <c r="AO87" s="646" t="str">
        <f>IF(D86="","",D86)</f>
        <v/>
      </c>
      <c r="AP87" s="647" t="str">
        <f>IF(D86&lt;&gt;"",VLOOKUP(D86,$AU$2:$AV$6,2,FALSE),"")</f>
        <v/>
      </c>
      <c r="AQ87" s="644">
        <f>ROUNDDOWN(AL87/$AL$6,2)</f>
        <v>0</v>
      </c>
      <c r="AR87" s="644">
        <f>IF(AP87=1,"",AQ87)</f>
        <v>0</v>
      </c>
    </row>
    <row r="88" spans="1:44" ht="15.9" hidden="1" customHeight="1">
      <c r="A88" s="582"/>
      <c r="B88" s="1655" t="s">
        <v>1273</v>
      </c>
      <c r="C88" s="1640"/>
      <c r="D88" s="1642"/>
      <c r="E88" s="1644"/>
      <c r="F88" s="627" t="s">
        <v>1233</v>
      </c>
      <c r="G88" s="628"/>
      <c r="H88" s="629"/>
      <c r="I88" s="630"/>
      <c r="J88" s="630"/>
      <c r="K88" s="630"/>
      <c r="L88" s="630"/>
      <c r="M88" s="631"/>
      <c r="N88" s="628"/>
      <c r="O88" s="629"/>
      <c r="P88" s="630"/>
      <c r="Q88" s="630"/>
      <c r="R88" s="630"/>
      <c r="S88" s="630"/>
      <c r="T88" s="631"/>
      <c r="U88" s="628"/>
      <c r="V88" s="629"/>
      <c r="W88" s="630"/>
      <c r="X88" s="630"/>
      <c r="Y88" s="630"/>
      <c r="Z88" s="630"/>
      <c r="AA88" s="631"/>
      <c r="AB88" s="628"/>
      <c r="AC88" s="629"/>
      <c r="AD88" s="630"/>
      <c r="AE88" s="630"/>
      <c r="AF88" s="630"/>
      <c r="AG88" s="630"/>
      <c r="AH88" s="631"/>
      <c r="AI88" s="648"/>
      <c r="AJ88" s="629"/>
      <c r="AK88" s="629"/>
      <c r="AL88" s="633">
        <f>SUM(G89:AK89)</f>
        <v>0</v>
      </c>
      <c r="AM88" s="634"/>
      <c r="AN88" s="635"/>
      <c r="AO88" s="636"/>
      <c r="AP88" s="634"/>
      <c r="AQ88" s="637"/>
      <c r="AR88" s="637"/>
    </row>
    <row r="89" spans="1:44" ht="15.9" hidden="1" customHeight="1">
      <c r="A89" s="582"/>
      <c r="B89" s="1655"/>
      <c r="C89" s="1656"/>
      <c r="D89" s="1657"/>
      <c r="E89" s="1658"/>
      <c r="F89" s="638" t="s">
        <v>1234</v>
      </c>
      <c r="G89" s="639" t="str">
        <f t="shared" ref="G89:AK89" si="40">IF(G88&lt;&gt;"",VLOOKUP(G88,$AC$197:$AL$221,9,FALSE),"")</f>
        <v/>
      </c>
      <c r="H89" s="640" t="str">
        <f t="shared" si="40"/>
        <v/>
      </c>
      <c r="I89" s="640" t="str">
        <f t="shared" si="40"/>
        <v/>
      </c>
      <c r="J89" s="640" t="str">
        <f t="shared" si="40"/>
        <v/>
      </c>
      <c r="K89" s="640" t="str">
        <f t="shared" si="40"/>
        <v/>
      </c>
      <c r="L89" s="640" t="str">
        <f t="shared" si="40"/>
        <v/>
      </c>
      <c r="M89" s="641" t="str">
        <f t="shared" si="40"/>
        <v/>
      </c>
      <c r="N89" s="639" t="str">
        <f t="shared" si="40"/>
        <v/>
      </c>
      <c r="O89" s="640" t="str">
        <f t="shared" si="40"/>
        <v/>
      </c>
      <c r="P89" s="640" t="str">
        <f t="shared" si="40"/>
        <v/>
      </c>
      <c r="Q89" s="640" t="str">
        <f t="shared" si="40"/>
        <v/>
      </c>
      <c r="R89" s="640" t="str">
        <f t="shared" si="40"/>
        <v/>
      </c>
      <c r="S89" s="640" t="str">
        <f t="shared" si="40"/>
        <v/>
      </c>
      <c r="T89" s="641" t="str">
        <f t="shared" si="40"/>
        <v/>
      </c>
      <c r="U89" s="639" t="str">
        <f t="shared" si="40"/>
        <v/>
      </c>
      <c r="V89" s="640" t="str">
        <f t="shared" si="40"/>
        <v/>
      </c>
      <c r="W89" s="640" t="str">
        <f t="shared" si="40"/>
        <v/>
      </c>
      <c r="X89" s="640" t="str">
        <f t="shared" si="40"/>
        <v/>
      </c>
      <c r="Y89" s="640" t="str">
        <f t="shared" si="40"/>
        <v/>
      </c>
      <c r="Z89" s="640" t="str">
        <f t="shared" si="40"/>
        <v/>
      </c>
      <c r="AA89" s="641" t="str">
        <f t="shared" si="40"/>
        <v/>
      </c>
      <c r="AB89" s="639" t="str">
        <f t="shared" si="40"/>
        <v/>
      </c>
      <c r="AC89" s="640" t="str">
        <f t="shared" si="40"/>
        <v/>
      </c>
      <c r="AD89" s="640" t="str">
        <f t="shared" si="40"/>
        <v/>
      </c>
      <c r="AE89" s="640" t="str">
        <f t="shared" si="40"/>
        <v/>
      </c>
      <c r="AF89" s="640" t="str">
        <f t="shared" si="40"/>
        <v/>
      </c>
      <c r="AG89" s="640" t="str">
        <f t="shared" si="40"/>
        <v/>
      </c>
      <c r="AH89" s="641" t="str">
        <f t="shared" si="40"/>
        <v/>
      </c>
      <c r="AI89" s="642" t="str">
        <f t="shared" si="40"/>
        <v/>
      </c>
      <c r="AJ89" s="640" t="str">
        <f t="shared" si="40"/>
        <v/>
      </c>
      <c r="AK89" s="640" t="str">
        <f t="shared" si="40"/>
        <v/>
      </c>
      <c r="AL89" s="643">
        <f>SUM(G89:AH89)</f>
        <v>0</v>
      </c>
      <c r="AM89" s="644">
        <f>AL89/4</f>
        <v>0</v>
      </c>
      <c r="AN89" s="645" t="str">
        <f>IF(C88="","",C88)</f>
        <v/>
      </c>
      <c r="AO89" s="646" t="str">
        <f>IF(D88="","",D88)</f>
        <v/>
      </c>
      <c r="AP89" s="647" t="str">
        <f>IF(D88&lt;&gt;"",VLOOKUP(D88,$AU$2:$AV$6,2,FALSE),"")</f>
        <v/>
      </c>
      <c r="AQ89" s="644">
        <f>ROUNDDOWN(AL89/$AL$6,2)</f>
        <v>0</v>
      </c>
      <c r="AR89" s="644">
        <f>IF(AP89=1,"",AQ89)</f>
        <v>0</v>
      </c>
    </row>
    <row r="90" spans="1:44" ht="15.9" hidden="1" customHeight="1">
      <c r="A90" s="582"/>
      <c r="B90" s="1655" t="s">
        <v>1274</v>
      </c>
      <c r="C90" s="1640"/>
      <c r="D90" s="1642"/>
      <c r="E90" s="1644"/>
      <c r="F90" s="627" t="s">
        <v>1233</v>
      </c>
      <c r="G90" s="628"/>
      <c r="H90" s="629"/>
      <c r="I90" s="630"/>
      <c r="J90" s="630"/>
      <c r="K90" s="630"/>
      <c r="L90" s="630"/>
      <c r="M90" s="631"/>
      <c r="N90" s="628"/>
      <c r="O90" s="629"/>
      <c r="P90" s="630"/>
      <c r="Q90" s="630"/>
      <c r="R90" s="630"/>
      <c r="S90" s="630"/>
      <c r="T90" s="631"/>
      <c r="U90" s="628"/>
      <c r="V90" s="629"/>
      <c r="W90" s="630"/>
      <c r="X90" s="630"/>
      <c r="Y90" s="630"/>
      <c r="Z90" s="630"/>
      <c r="AA90" s="631"/>
      <c r="AB90" s="628"/>
      <c r="AC90" s="629"/>
      <c r="AD90" s="630"/>
      <c r="AE90" s="630"/>
      <c r="AF90" s="630"/>
      <c r="AG90" s="630"/>
      <c r="AH90" s="631"/>
      <c r="AI90" s="632"/>
      <c r="AJ90" s="630"/>
      <c r="AK90" s="630"/>
      <c r="AL90" s="633">
        <f>SUM(G91:AK91)</f>
        <v>0</v>
      </c>
      <c r="AM90" s="634"/>
      <c r="AN90" s="635"/>
      <c r="AO90" s="636"/>
      <c r="AP90" s="634"/>
      <c r="AQ90" s="637"/>
      <c r="AR90" s="637"/>
    </row>
    <row r="91" spans="1:44" ht="15.9" hidden="1" customHeight="1">
      <c r="A91" s="582"/>
      <c r="B91" s="1655"/>
      <c r="C91" s="1656"/>
      <c r="D91" s="1657"/>
      <c r="E91" s="1658"/>
      <c r="F91" s="638" t="s">
        <v>1234</v>
      </c>
      <c r="G91" s="639" t="str">
        <f t="shared" ref="G91:AK91" si="41">IF(G90&lt;&gt;"",VLOOKUP(G90,$AC$197:$AL$221,9,FALSE),"")</f>
        <v/>
      </c>
      <c r="H91" s="640" t="str">
        <f t="shared" si="41"/>
        <v/>
      </c>
      <c r="I91" s="640" t="str">
        <f t="shared" si="41"/>
        <v/>
      </c>
      <c r="J91" s="640" t="str">
        <f t="shared" si="41"/>
        <v/>
      </c>
      <c r="K91" s="640" t="str">
        <f t="shared" si="41"/>
        <v/>
      </c>
      <c r="L91" s="640" t="str">
        <f t="shared" si="41"/>
        <v/>
      </c>
      <c r="M91" s="641" t="str">
        <f t="shared" si="41"/>
        <v/>
      </c>
      <c r="N91" s="639" t="str">
        <f t="shared" si="41"/>
        <v/>
      </c>
      <c r="O91" s="640" t="str">
        <f t="shared" si="41"/>
        <v/>
      </c>
      <c r="P91" s="640" t="str">
        <f t="shared" si="41"/>
        <v/>
      </c>
      <c r="Q91" s="640" t="str">
        <f t="shared" si="41"/>
        <v/>
      </c>
      <c r="R91" s="640" t="str">
        <f t="shared" si="41"/>
        <v/>
      </c>
      <c r="S91" s="640" t="str">
        <f t="shared" si="41"/>
        <v/>
      </c>
      <c r="T91" s="641" t="str">
        <f t="shared" si="41"/>
        <v/>
      </c>
      <c r="U91" s="639" t="str">
        <f t="shared" si="41"/>
        <v/>
      </c>
      <c r="V91" s="640" t="str">
        <f t="shared" si="41"/>
        <v/>
      </c>
      <c r="W91" s="640" t="str">
        <f t="shared" si="41"/>
        <v/>
      </c>
      <c r="X91" s="640" t="str">
        <f t="shared" si="41"/>
        <v/>
      </c>
      <c r="Y91" s="640" t="str">
        <f t="shared" si="41"/>
        <v/>
      </c>
      <c r="Z91" s="640" t="str">
        <f t="shared" si="41"/>
        <v/>
      </c>
      <c r="AA91" s="641" t="str">
        <f t="shared" si="41"/>
        <v/>
      </c>
      <c r="AB91" s="639" t="str">
        <f t="shared" si="41"/>
        <v/>
      </c>
      <c r="AC91" s="640" t="str">
        <f t="shared" si="41"/>
        <v/>
      </c>
      <c r="AD91" s="640" t="str">
        <f t="shared" si="41"/>
        <v/>
      </c>
      <c r="AE91" s="640" t="str">
        <f t="shared" si="41"/>
        <v/>
      </c>
      <c r="AF91" s="640" t="str">
        <f t="shared" si="41"/>
        <v/>
      </c>
      <c r="AG91" s="640" t="str">
        <f t="shared" si="41"/>
        <v/>
      </c>
      <c r="AH91" s="641" t="str">
        <f t="shared" si="41"/>
        <v/>
      </c>
      <c r="AI91" s="642" t="str">
        <f t="shared" si="41"/>
        <v/>
      </c>
      <c r="AJ91" s="640" t="str">
        <f t="shared" si="41"/>
        <v/>
      </c>
      <c r="AK91" s="640" t="str">
        <f t="shared" si="41"/>
        <v/>
      </c>
      <c r="AL91" s="643">
        <f>SUM(G91:AH91)</f>
        <v>0</v>
      </c>
      <c r="AM91" s="644">
        <f>AL91/4</f>
        <v>0</v>
      </c>
      <c r="AN91" s="645" t="str">
        <f>IF(C90="","",C90)</f>
        <v/>
      </c>
      <c r="AO91" s="646" t="str">
        <f>IF(D90="","",D90)</f>
        <v/>
      </c>
      <c r="AP91" s="647" t="str">
        <f>IF(D90&lt;&gt;"",VLOOKUP(D90,$AU$2:$AV$6,2,FALSE),"")</f>
        <v/>
      </c>
      <c r="AQ91" s="644">
        <f>ROUNDDOWN(AL91/$AL$6,2)</f>
        <v>0</v>
      </c>
      <c r="AR91" s="644">
        <f>IF(AP91=1,"",AQ91)</f>
        <v>0</v>
      </c>
    </row>
    <row r="92" spans="1:44" ht="15.9" hidden="1" customHeight="1">
      <c r="A92" s="582"/>
      <c r="B92" s="1655" t="s">
        <v>1275</v>
      </c>
      <c r="C92" s="1640"/>
      <c r="D92" s="1642"/>
      <c r="E92" s="1644"/>
      <c r="F92" s="627" t="s">
        <v>1233</v>
      </c>
      <c r="G92" s="628"/>
      <c r="H92" s="629"/>
      <c r="I92" s="630"/>
      <c r="J92" s="630"/>
      <c r="K92" s="630"/>
      <c r="L92" s="630"/>
      <c r="M92" s="631"/>
      <c r="N92" s="628"/>
      <c r="O92" s="629"/>
      <c r="P92" s="630"/>
      <c r="Q92" s="630"/>
      <c r="R92" s="630"/>
      <c r="S92" s="630"/>
      <c r="T92" s="631"/>
      <c r="U92" s="628"/>
      <c r="V92" s="629"/>
      <c r="W92" s="630"/>
      <c r="X92" s="630"/>
      <c r="Y92" s="630"/>
      <c r="Z92" s="630"/>
      <c r="AA92" s="631"/>
      <c r="AB92" s="628"/>
      <c r="AC92" s="629"/>
      <c r="AD92" s="630"/>
      <c r="AE92" s="630"/>
      <c r="AF92" s="630"/>
      <c r="AG92" s="630"/>
      <c r="AH92" s="631"/>
      <c r="AI92" s="632"/>
      <c r="AJ92" s="630"/>
      <c r="AK92" s="630"/>
      <c r="AL92" s="633">
        <f>SUM(G93:AK93)</f>
        <v>0</v>
      </c>
      <c r="AM92" s="634"/>
      <c r="AN92" s="635"/>
      <c r="AO92" s="636"/>
      <c r="AP92" s="634"/>
      <c r="AQ92" s="637"/>
      <c r="AR92" s="637"/>
    </row>
    <row r="93" spans="1:44" ht="15.9" hidden="1" customHeight="1">
      <c r="A93" s="582"/>
      <c r="B93" s="1655"/>
      <c r="C93" s="1656"/>
      <c r="D93" s="1657"/>
      <c r="E93" s="1658"/>
      <c r="F93" s="638" t="s">
        <v>1234</v>
      </c>
      <c r="G93" s="639" t="str">
        <f t="shared" ref="G93:AK93" si="42">IF(G92&lt;&gt;"",VLOOKUP(G92,$AC$197:$AL$221,9,FALSE),"")</f>
        <v/>
      </c>
      <c r="H93" s="640" t="str">
        <f t="shared" si="42"/>
        <v/>
      </c>
      <c r="I93" s="640" t="str">
        <f t="shared" si="42"/>
        <v/>
      </c>
      <c r="J93" s="640" t="str">
        <f t="shared" si="42"/>
        <v/>
      </c>
      <c r="K93" s="640" t="str">
        <f t="shared" si="42"/>
        <v/>
      </c>
      <c r="L93" s="640" t="str">
        <f t="shared" si="42"/>
        <v/>
      </c>
      <c r="M93" s="641" t="str">
        <f t="shared" si="42"/>
        <v/>
      </c>
      <c r="N93" s="639" t="str">
        <f t="shared" si="42"/>
        <v/>
      </c>
      <c r="O93" s="640" t="str">
        <f t="shared" si="42"/>
        <v/>
      </c>
      <c r="P93" s="640" t="str">
        <f t="shared" si="42"/>
        <v/>
      </c>
      <c r="Q93" s="640" t="str">
        <f t="shared" si="42"/>
        <v/>
      </c>
      <c r="R93" s="640" t="str">
        <f t="shared" si="42"/>
        <v/>
      </c>
      <c r="S93" s="640" t="str">
        <f t="shared" si="42"/>
        <v/>
      </c>
      <c r="T93" s="641" t="str">
        <f t="shared" si="42"/>
        <v/>
      </c>
      <c r="U93" s="639" t="str">
        <f t="shared" si="42"/>
        <v/>
      </c>
      <c r="V93" s="640" t="str">
        <f t="shared" si="42"/>
        <v/>
      </c>
      <c r="W93" s="640" t="str">
        <f t="shared" si="42"/>
        <v/>
      </c>
      <c r="X93" s="640" t="str">
        <f t="shared" si="42"/>
        <v/>
      </c>
      <c r="Y93" s="640" t="str">
        <f t="shared" si="42"/>
        <v/>
      </c>
      <c r="Z93" s="640" t="str">
        <f t="shared" si="42"/>
        <v/>
      </c>
      <c r="AA93" s="641" t="str">
        <f t="shared" si="42"/>
        <v/>
      </c>
      <c r="AB93" s="639" t="str">
        <f t="shared" si="42"/>
        <v/>
      </c>
      <c r="AC93" s="640" t="str">
        <f t="shared" si="42"/>
        <v/>
      </c>
      <c r="AD93" s="640" t="str">
        <f t="shared" si="42"/>
        <v/>
      </c>
      <c r="AE93" s="640" t="str">
        <f t="shared" si="42"/>
        <v/>
      </c>
      <c r="AF93" s="640" t="str">
        <f t="shared" si="42"/>
        <v/>
      </c>
      <c r="AG93" s="640" t="str">
        <f t="shared" si="42"/>
        <v/>
      </c>
      <c r="AH93" s="641" t="str">
        <f t="shared" si="42"/>
        <v/>
      </c>
      <c r="AI93" s="642" t="str">
        <f t="shared" si="42"/>
        <v/>
      </c>
      <c r="AJ93" s="640" t="str">
        <f t="shared" si="42"/>
        <v/>
      </c>
      <c r="AK93" s="640" t="str">
        <f t="shared" si="42"/>
        <v/>
      </c>
      <c r="AL93" s="643">
        <f>SUM(G93:AH93)</f>
        <v>0</v>
      </c>
      <c r="AM93" s="644">
        <f>AL93/4</f>
        <v>0</v>
      </c>
      <c r="AN93" s="645" t="str">
        <f>IF(C92="","",C92)</f>
        <v/>
      </c>
      <c r="AO93" s="646" t="str">
        <f>IF(D92="","",D92)</f>
        <v/>
      </c>
      <c r="AP93" s="647" t="str">
        <f>IF(D92&lt;&gt;"",VLOOKUP(D92,$AU$2:$AV$6,2,FALSE),"")</f>
        <v/>
      </c>
      <c r="AQ93" s="644">
        <f>ROUNDDOWN(AL93/$AL$6,2)</f>
        <v>0</v>
      </c>
      <c r="AR93" s="644">
        <f>IF(AP93=1,"",AQ93)</f>
        <v>0</v>
      </c>
    </row>
    <row r="94" spans="1:44" ht="15.9" hidden="1" customHeight="1">
      <c r="A94" s="582"/>
      <c r="B94" s="1655" t="s">
        <v>1276</v>
      </c>
      <c r="C94" s="1640"/>
      <c r="D94" s="1642"/>
      <c r="E94" s="1644"/>
      <c r="F94" s="627" t="s">
        <v>1233</v>
      </c>
      <c r="G94" s="628"/>
      <c r="H94" s="629"/>
      <c r="I94" s="630"/>
      <c r="J94" s="630"/>
      <c r="K94" s="630"/>
      <c r="L94" s="630"/>
      <c r="M94" s="631"/>
      <c r="N94" s="628"/>
      <c r="O94" s="629"/>
      <c r="P94" s="630"/>
      <c r="Q94" s="630"/>
      <c r="R94" s="630"/>
      <c r="S94" s="630"/>
      <c r="T94" s="631"/>
      <c r="U94" s="628"/>
      <c r="V94" s="629"/>
      <c r="W94" s="630"/>
      <c r="X94" s="630"/>
      <c r="Y94" s="630"/>
      <c r="Z94" s="630"/>
      <c r="AA94" s="631"/>
      <c r="AB94" s="628"/>
      <c r="AC94" s="629"/>
      <c r="AD94" s="630"/>
      <c r="AE94" s="630"/>
      <c r="AF94" s="630"/>
      <c r="AG94" s="630"/>
      <c r="AH94" s="631"/>
      <c r="AI94" s="648"/>
      <c r="AJ94" s="629"/>
      <c r="AK94" s="629"/>
      <c r="AL94" s="633">
        <f>SUM(G95:AK95)</f>
        <v>0</v>
      </c>
      <c r="AM94" s="634"/>
      <c r="AN94" s="635"/>
      <c r="AO94" s="636"/>
      <c r="AP94" s="634"/>
      <c r="AQ94" s="637"/>
      <c r="AR94" s="637"/>
    </row>
    <row r="95" spans="1:44" ht="15.9" hidden="1" customHeight="1">
      <c r="A95" s="582"/>
      <c r="B95" s="1655"/>
      <c r="C95" s="1656"/>
      <c r="D95" s="1657"/>
      <c r="E95" s="1658"/>
      <c r="F95" s="638" t="s">
        <v>1234</v>
      </c>
      <c r="G95" s="639" t="str">
        <f t="shared" ref="G95:AK95" si="43">IF(G94&lt;&gt;"",VLOOKUP(G94,$AC$197:$AL$221,9,FALSE),"")</f>
        <v/>
      </c>
      <c r="H95" s="640" t="str">
        <f t="shared" si="43"/>
        <v/>
      </c>
      <c r="I95" s="640" t="str">
        <f t="shared" si="43"/>
        <v/>
      </c>
      <c r="J95" s="640" t="str">
        <f t="shared" si="43"/>
        <v/>
      </c>
      <c r="K95" s="640" t="str">
        <f t="shared" si="43"/>
        <v/>
      </c>
      <c r="L95" s="640" t="str">
        <f t="shared" si="43"/>
        <v/>
      </c>
      <c r="M95" s="641" t="str">
        <f t="shared" si="43"/>
        <v/>
      </c>
      <c r="N95" s="639" t="str">
        <f t="shared" si="43"/>
        <v/>
      </c>
      <c r="O95" s="640" t="str">
        <f t="shared" si="43"/>
        <v/>
      </c>
      <c r="P95" s="640" t="str">
        <f t="shared" si="43"/>
        <v/>
      </c>
      <c r="Q95" s="640" t="str">
        <f t="shared" si="43"/>
        <v/>
      </c>
      <c r="R95" s="640" t="str">
        <f t="shared" si="43"/>
        <v/>
      </c>
      <c r="S95" s="640" t="str">
        <f t="shared" si="43"/>
        <v/>
      </c>
      <c r="T95" s="641" t="str">
        <f t="shared" si="43"/>
        <v/>
      </c>
      <c r="U95" s="639" t="str">
        <f t="shared" si="43"/>
        <v/>
      </c>
      <c r="V95" s="640" t="str">
        <f t="shared" si="43"/>
        <v/>
      </c>
      <c r="W95" s="640" t="str">
        <f t="shared" si="43"/>
        <v/>
      </c>
      <c r="X95" s="640" t="str">
        <f t="shared" si="43"/>
        <v/>
      </c>
      <c r="Y95" s="640" t="str">
        <f t="shared" si="43"/>
        <v/>
      </c>
      <c r="Z95" s="640" t="str">
        <f t="shared" si="43"/>
        <v/>
      </c>
      <c r="AA95" s="641" t="str">
        <f t="shared" si="43"/>
        <v/>
      </c>
      <c r="AB95" s="639" t="str">
        <f t="shared" si="43"/>
        <v/>
      </c>
      <c r="AC95" s="640" t="str">
        <f t="shared" si="43"/>
        <v/>
      </c>
      <c r="AD95" s="640" t="str">
        <f t="shared" si="43"/>
        <v/>
      </c>
      <c r="AE95" s="640" t="str">
        <f t="shared" si="43"/>
        <v/>
      </c>
      <c r="AF95" s="640" t="str">
        <f t="shared" si="43"/>
        <v/>
      </c>
      <c r="AG95" s="640" t="str">
        <f t="shared" si="43"/>
        <v/>
      </c>
      <c r="AH95" s="641" t="str">
        <f t="shared" si="43"/>
        <v/>
      </c>
      <c r="AI95" s="642" t="str">
        <f t="shared" si="43"/>
        <v/>
      </c>
      <c r="AJ95" s="640" t="str">
        <f t="shared" si="43"/>
        <v/>
      </c>
      <c r="AK95" s="640" t="str">
        <f t="shared" si="43"/>
        <v/>
      </c>
      <c r="AL95" s="643">
        <f>SUM(G95:AH95)</f>
        <v>0</v>
      </c>
      <c r="AM95" s="644">
        <f>AL95/4</f>
        <v>0</v>
      </c>
      <c r="AN95" s="645" t="str">
        <f>IF(C94="","",C94)</f>
        <v/>
      </c>
      <c r="AO95" s="646" t="str">
        <f>IF(D94="","",D94)</f>
        <v/>
      </c>
      <c r="AP95" s="647" t="str">
        <f>IF(D94&lt;&gt;"",VLOOKUP(D94,$AU$2:$AV$6,2,FALSE),"")</f>
        <v/>
      </c>
      <c r="AQ95" s="644">
        <f>ROUNDDOWN(AL95/$AL$6,2)</f>
        <v>0</v>
      </c>
      <c r="AR95" s="644">
        <f>IF(AP95=1,"",AQ95)</f>
        <v>0</v>
      </c>
    </row>
    <row r="96" spans="1:44" ht="15.9" hidden="1" customHeight="1">
      <c r="A96" s="582"/>
      <c r="B96" s="1655" t="s">
        <v>1277</v>
      </c>
      <c r="C96" s="1640"/>
      <c r="D96" s="1642"/>
      <c r="E96" s="1644"/>
      <c r="F96" s="627" t="s">
        <v>1233</v>
      </c>
      <c r="G96" s="628"/>
      <c r="H96" s="629"/>
      <c r="I96" s="630"/>
      <c r="J96" s="630"/>
      <c r="K96" s="630"/>
      <c r="L96" s="630"/>
      <c r="M96" s="631"/>
      <c r="N96" s="628"/>
      <c r="O96" s="629"/>
      <c r="P96" s="630"/>
      <c r="Q96" s="630"/>
      <c r="R96" s="630"/>
      <c r="S96" s="630"/>
      <c r="T96" s="631"/>
      <c r="U96" s="628"/>
      <c r="V96" s="629"/>
      <c r="W96" s="630"/>
      <c r="X96" s="630"/>
      <c r="Y96" s="630"/>
      <c r="Z96" s="630"/>
      <c r="AA96" s="631"/>
      <c r="AB96" s="628"/>
      <c r="AC96" s="629"/>
      <c r="AD96" s="630"/>
      <c r="AE96" s="630"/>
      <c r="AF96" s="630"/>
      <c r="AG96" s="630"/>
      <c r="AH96" s="631"/>
      <c r="AI96" s="648"/>
      <c r="AJ96" s="629"/>
      <c r="AK96" s="629"/>
      <c r="AL96" s="633">
        <f>SUM(G97:AK97)</f>
        <v>0</v>
      </c>
      <c r="AM96" s="634"/>
      <c r="AN96" s="635"/>
      <c r="AO96" s="636"/>
      <c r="AP96" s="634"/>
      <c r="AQ96" s="637"/>
      <c r="AR96" s="637"/>
    </row>
    <row r="97" spans="1:44" ht="15.9" hidden="1" customHeight="1">
      <c r="A97" s="582"/>
      <c r="B97" s="1655"/>
      <c r="C97" s="1656"/>
      <c r="D97" s="1657"/>
      <c r="E97" s="1658"/>
      <c r="F97" s="638" t="s">
        <v>1234</v>
      </c>
      <c r="G97" s="639" t="str">
        <f t="shared" ref="G97:AK97" si="44">IF(G96&lt;&gt;"",VLOOKUP(G96,$AC$197:$AL$221,9,FALSE),"")</f>
        <v/>
      </c>
      <c r="H97" s="640" t="str">
        <f t="shared" si="44"/>
        <v/>
      </c>
      <c r="I97" s="640" t="str">
        <f t="shared" si="44"/>
        <v/>
      </c>
      <c r="J97" s="640" t="str">
        <f t="shared" si="44"/>
        <v/>
      </c>
      <c r="K97" s="640" t="str">
        <f t="shared" si="44"/>
        <v/>
      </c>
      <c r="L97" s="640" t="str">
        <f t="shared" si="44"/>
        <v/>
      </c>
      <c r="M97" s="641" t="str">
        <f t="shared" si="44"/>
        <v/>
      </c>
      <c r="N97" s="639" t="str">
        <f t="shared" si="44"/>
        <v/>
      </c>
      <c r="O97" s="640" t="str">
        <f t="shared" si="44"/>
        <v/>
      </c>
      <c r="P97" s="640" t="str">
        <f t="shared" si="44"/>
        <v/>
      </c>
      <c r="Q97" s="640" t="str">
        <f t="shared" si="44"/>
        <v/>
      </c>
      <c r="R97" s="640" t="str">
        <f t="shared" si="44"/>
        <v/>
      </c>
      <c r="S97" s="640" t="str">
        <f t="shared" si="44"/>
        <v/>
      </c>
      <c r="T97" s="641" t="str">
        <f t="shared" si="44"/>
        <v/>
      </c>
      <c r="U97" s="639" t="str">
        <f t="shared" si="44"/>
        <v/>
      </c>
      <c r="V97" s="640" t="str">
        <f t="shared" si="44"/>
        <v/>
      </c>
      <c r="W97" s="640" t="str">
        <f t="shared" si="44"/>
        <v/>
      </c>
      <c r="X97" s="640" t="str">
        <f t="shared" si="44"/>
        <v/>
      </c>
      <c r="Y97" s="640" t="str">
        <f t="shared" si="44"/>
        <v/>
      </c>
      <c r="Z97" s="640" t="str">
        <f t="shared" si="44"/>
        <v/>
      </c>
      <c r="AA97" s="641" t="str">
        <f t="shared" si="44"/>
        <v/>
      </c>
      <c r="AB97" s="639" t="str">
        <f t="shared" si="44"/>
        <v/>
      </c>
      <c r="AC97" s="640" t="str">
        <f t="shared" si="44"/>
        <v/>
      </c>
      <c r="AD97" s="640" t="str">
        <f t="shared" si="44"/>
        <v/>
      </c>
      <c r="AE97" s="640" t="str">
        <f t="shared" si="44"/>
        <v/>
      </c>
      <c r="AF97" s="640" t="str">
        <f t="shared" si="44"/>
        <v/>
      </c>
      <c r="AG97" s="640" t="str">
        <f t="shared" si="44"/>
        <v/>
      </c>
      <c r="AH97" s="641" t="str">
        <f t="shared" si="44"/>
        <v/>
      </c>
      <c r="AI97" s="642" t="str">
        <f t="shared" si="44"/>
        <v/>
      </c>
      <c r="AJ97" s="640" t="str">
        <f t="shared" si="44"/>
        <v/>
      </c>
      <c r="AK97" s="640" t="str">
        <f t="shared" si="44"/>
        <v/>
      </c>
      <c r="AL97" s="643">
        <f>SUM(G97:AH97)</f>
        <v>0</v>
      </c>
      <c r="AM97" s="644">
        <f>AL97/4</f>
        <v>0</v>
      </c>
      <c r="AN97" s="645" t="str">
        <f>IF(C96="","",C96)</f>
        <v/>
      </c>
      <c r="AO97" s="646" t="str">
        <f>IF(D96="","",D96)</f>
        <v/>
      </c>
      <c r="AP97" s="647" t="str">
        <f>IF(D96&lt;&gt;"",VLOOKUP(D96,$AU$2:$AV$6,2,FALSE),"")</f>
        <v/>
      </c>
      <c r="AQ97" s="644">
        <f>ROUNDDOWN(AL97/$AL$6,2)</f>
        <v>0</v>
      </c>
      <c r="AR97" s="644">
        <f>IF(AP97=1,"",AQ97)</f>
        <v>0</v>
      </c>
    </row>
    <row r="98" spans="1:44" ht="15.9" hidden="1" customHeight="1">
      <c r="A98" s="582"/>
      <c r="B98" s="1655" t="s">
        <v>1278</v>
      </c>
      <c r="C98" s="1640"/>
      <c r="D98" s="1642"/>
      <c r="E98" s="1644"/>
      <c r="F98" s="627" t="s">
        <v>1233</v>
      </c>
      <c r="G98" s="628"/>
      <c r="H98" s="629"/>
      <c r="I98" s="630"/>
      <c r="J98" s="630"/>
      <c r="K98" s="630"/>
      <c r="L98" s="630"/>
      <c r="M98" s="631"/>
      <c r="N98" s="628"/>
      <c r="O98" s="629"/>
      <c r="P98" s="630"/>
      <c r="Q98" s="630"/>
      <c r="R98" s="630"/>
      <c r="S98" s="630"/>
      <c r="T98" s="631"/>
      <c r="U98" s="628"/>
      <c r="V98" s="629"/>
      <c r="W98" s="630"/>
      <c r="X98" s="630"/>
      <c r="Y98" s="630"/>
      <c r="Z98" s="630"/>
      <c r="AA98" s="631"/>
      <c r="AB98" s="628"/>
      <c r="AC98" s="629"/>
      <c r="AD98" s="630"/>
      <c r="AE98" s="630"/>
      <c r="AF98" s="630"/>
      <c r="AG98" s="630"/>
      <c r="AH98" s="631"/>
      <c r="AI98" s="632"/>
      <c r="AJ98" s="630"/>
      <c r="AK98" s="630"/>
      <c r="AL98" s="633">
        <f>SUM(G99:AK99)</f>
        <v>0</v>
      </c>
      <c r="AM98" s="634"/>
      <c r="AN98" s="635"/>
      <c r="AO98" s="636"/>
      <c r="AP98" s="634"/>
      <c r="AQ98" s="637"/>
      <c r="AR98" s="637"/>
    </row>
    <row r="99" spans="1:44" ht="15.9" hidden="1" customHeight="1">
      <c r="A99" s="582"/>
      <c r="B99" s="1655"/>
      <c r="C99" s="1656"/>
      <c r="D99" s="1657"/>
      <c r="E99" s="1658"/>
      <c r="F99" s="638" t="s">
        <v>1234</v>
      </c>
      <c r="G99" s="639" t="str">
        <f t="shared" ref="G99:AK99" si="45">IF(G98&lt;&gt;"",VLOOKUP(G98,$AC$197:$AL$221,9,FALSE),"")</f>
        <v/>
      </c>
      <c r="H99" s="640" t="str">
        <f t="shared" si="45"/>
        <v/>
      </c>
      <c r="I99" s="640" t="str">
        <f t="shared" si="45"/>
        <v/>
      </c>
      <c r="J99" s="640" t="str">
        <f t="shared" si="45"/>
        <v/>
      </c>
      <c r="K99" s="640" t="str">
        <f t="shared" si="45"/>
        <v/>
      </c>
      <c r="L99" s="640" t="str">
        <f t="shared" si="45"/>
        <v/>
      </c>
      <c r="M99" s="641" t="str">
        <f t="shared" si="45"/>
        <v/>
      </c>
      <c r="N99" s="639" t="str">
        <f t="shared" si="45"/>
        <v/>
      </c>
      <c r="O99" s="640" t="str">
        <f t="shared" si="45"/>
        <v/>
      </c>
      <c r="P99" s="640" t="str">
        <f t="shared" si="45"/>
        <v/>
      </c>
      <c r="Q99" s="640" t="str">
        <f t="shared" si="45"/>
        <v/>
      </c>
      <c r="R99" s="640" t="str">
        <f t="shared" si="45"/>
        <v/>
      </c>
      <c r="S99" s="640" t="str">
        <f t="shared" si="45"/>
        <v/>
      </c>
      <c r="T99" s="641" t="str">
        <f t="shared" si="45"/>
        <v/>
      </c>
      <c r="U99" s="639" t="str">
        <f t="shared" si="45"/>
        <v/>
      </c>
      <c r="V99" s="640" t="str">
        <f t="shared" si="45"/>
        <v/>
      </c>
      <c r="W99" s="640" t="str">
        <f t="shared" si="45"/>
        <v/>
      </c>
      <c r="X99" s="640" t="str">
        <f t="shared" si="45"/>
        <v/>
      </c>
      <c r="Y99" s="640" t="str">
        <f t="shared" si="45"/>
        <v/>
      </c>
      <c r="Z99" s="640" t="str">
        <f t="shared" si="45"/>
        <v/>
      </c>
      <c r="AA99" s="641" t="str">
        <f t="shared" si="45"/>
        <v/>
      </c>
      <c r="AB99" s="639" t="str">
        <f t="shared" si="45"/>
        <v/>
      </c>
      <c r="AC99" s="640" t="str">
        <f t="shared" si="45"/>
        <v/>
      </c>
      <c r="AD99" s="640" t="str">
        <f t="shared" si="45"/>
        <v/>
      </c>
      <c r="AE99" s="640" t="str">
        <f t="shared" si="45"/>
        <v/>
      </c>
      <c r="AF99" s="640" t="str">
        <f t="shared" si="45"/>
        <v/>
      </c>
      <c r="AG99" s="640" t="str">
        <f t="shared" si="45"/>
        <v/>
      </c>
      <c r="AH99" s="641" t="str">
        <f t="shared" si="45"/>
        <v/>
      </c>
      <c r="AI99" s="642" t="str">
        <f t="shared" si="45"/>
        <v/>
      </c>
      <c r="AJ99" s="640" t="str">
        <f t="shared" si="45"/>
        <v/>
      </c>
      <c r="AK99" s="640" t="str">
        <f t="shared" si="45"/>
        <v/>
      </c>
      <c r="AL99" s="643">
        <f>SUM(G99:AH99)</f>
        <v>0</v>
      </c>
      <c r="AM99" s="644">
        <f>AL99/4</f>
        <v>0</v>
      </c>
      <c r="AN99" s="645" t="str">
        <f>IF(C98="","",C98)</f>
        <v/>
      </c>
      <c r="AO99" s="646" t="str">
        <f>IF(D98="","",D98)</f>
        <v/>
      </c>
      <c r="AP99" s="647" t="str">
        <f>IF(D98&lt;&gt;"",VLOOKUP(D98,$AU$2:$AV$6,2,FALSE),"")</f>
        <v/>
      </c>
      <c r="AQ99" s="644">
        <f>ROUNDDOWN(AL99/$AL$6,2)</f>
        <v>0</v>
      </c>
      <c r="AR99" s="644">
        <f>IF(AP99=1,"",AQ99)</f>
        <v>0</v>
      </c>
    </row>
    <row r="100" spans="1:44" ht="15.9" hidden="1" customHeight="1">
      <c r="A100" s="582"/>
      <c r="B100" s="1655" t="s">
        <v>1279</v>
      </c>
      <c r="C100" s="1640"/>
      <c r="D100" s="1642"/>
      <c r="E100" s="1644"/>
      <c r="F100" s="627" t="s">
        <v>1233</v>
      </c>
      <c r="G100" s="628"/>
      <c r="H100" s="629"/>
      <c r="I100" s="630"/>
      <c r="J100" s="630"/>
      <c r="K100" s="630"/>
      <c r="L100" s="630"/>
      <c r="M100" s="631"/>
      <c r="N100" s="628"/>
      <c r="O100" s="629"/>
      <c r="P100" s="630"/>
      <c r="Q100" s="630"/>
      <c r="R100" s="630"/>
      <c r="S100" s="630"/>
      <c r="T100" s="631"/>
      <c r="U100" s="628"/>
      <c r="V100" s="629"/>
      <c r="W100" s="630"/>
      <c r="X100" s="630"/>
      <c r="Y100" s="630"/>
      <c r="Z100" s="630"/>
      <c r="AA100" s="631"/>
      <c r="AB100" s="628"/>
      <c r="AC100" s="629"/>
      <c r="AD100" s="630"/>
      <c r="AE100" s="630"/>
      <c r="AF100" s="630"/>
      <c r="AG100" s="630"/>
      <c r="AH100" s="631"/>
      <c r="AI100" s="632"/>
      <c r="AJ100" s="630"/>
      <c r="AK100" s="630"/>
      <c r="AL100" s="633">
        <f>SUM(G101:AK101)</f>
        <v>0</v>
      </c>
      <c r="AM100" s="634"/>
      <c r="AN100" s="635"/>
      <c r="AO100" s="636"/>
      <c r="AP100" s="634"/>
      <c r="AQ100" s="637"/>
      <c r="AR100" s="637"/>
    </row>
    <row r="101" spans="1:44" ht="15.9" hidden="1" customHeight="1">
      <c r="A101" s="582"/>
      <c r="B101" s="1655"/>
      <c r="C101" s="1656"/>
      <c r="D101" s="1657"/>
      <c r="E101" s="1658"/>
      <c r="F101" s="638" t="s">
        <v>1234</v>
      </c>
      <c r="G101" s="639" t="str">
        <f t="shared" ref="G101:AK101" si="46">IF(G100&lt;&gt;"",VLOOKUP(G100,$AC$197:$AL$221,9,FALSE),"")</f>
        <v/>
      </c>
      <c r="H101" s="640" t="str">
        <f t="shared" si="46"/>
        <v/>
      </c>
      <c r="I101" s="640" t="str">
        <f t="shared" si="46"/>
        <v/>
      </c>
      <c r="J101" s="640" t="str">
        <f t="shared" si="46"/>
        <v/>
      </c>
      <c r="K101" s="640" t="str">
        <f t="shared" si="46"/>
        <v/>
      </c>
      <c r="L101" s="640" t="str">
        <f t="shared" si="46"/>
        <v/>
      </c>
      <c r="M101" s="641" t="str">
        <f t="shared" si="46"/>
        <v/>
      </c>
      <c r="N101" s="639" t="str">
        <f t="shared" si="46"/>
        <v/>
      </c>
      <c r="O101" s="640" t="str">
        <f t="shared" si="46"/>
        <v/>
      </c>
      <c r="P101" s="640" t="str">
        <f t="shared" si="46"/>
        <v/>
      </c>
      <c r="Q101" s="640" t="str">
        <f t="shared" si="46"/>
        <v/>
      </c>
      <c r="R101" s="640" t="str">
        <f t="shared" si="46"/>
        <v/>
      </c>
      <c r="S101" s="640" t="str">
        <f t="shared" si="46"/>
        <v/>
      </c>
      <c r="T101" s="641" t="str">
        <f t="shared" si="46"/>
        <v/>
      </c>
      <c r="U101" s="639" t="str">
        <f t="shared" si="46"/>
        <v/>
      </c>
      <c r="V101" s="640" t="str">
        <f t="shared" si="46"/>
        <v/>
      </c>
      <c r="W101" s="640" t="str">
        <f t="shared" si="46"/>
        <v/>
      </c>
      <c r="X101" s="640" t="str">
        <f t="shared" si="46"/>
        <v/>
      </c>
      <c r="Y101" s="640" t="str">
        <f t="shared" si="46"/>
        <v/>
      </c>
      <c r="Z101" s="640" t="str">
        <f t="shared" si="46"/>
        <v/>
      </c>
      <c r="AA101" s="641" t="str">
        <f t="shared" si="46"/>
        <v/>
      </c>
      <c r="AB101" s="639" t="str">
        <f t="shared" si="46"/>
        <v/>
      </c>
      <c r="AC101" s="640" t="str">
        <f t="shared" si="46"/>
        <v/>
      </c>
      <c r="AD101" s="640" t="str">
        <f t="shared" si="46"/>
        <v/>
      </c>
      <c r="AE101" s="640" t="str">
        <f t="shared" si="46"/>
        <v/>
      </c>
      <c r="AF101" s="640" t="str">
        <f t="shared" si="46"/>
        <v/>
      </c>
      <c r="AG101" s="640" t="str">
        <f t="shared" si="46"/>
        <v/>
      </c>
      <c r="AH101" s="641" t="str">
        <f t="shared" si="46"/>
        <v/>
      </c>
      <c r="AI101" s="642" t="str">
        <f t="shared" si="46"/>
        <v/>
      </c>
      <c r="AJ101" s="640" t="str">
        <f t="shared" si="46"/>
        <v/>
      </c>
      <c r="AK101" s="640" t="str">
        <f t="shared" si="46"/>
        <v/>
      </c>
      <c r="AL101" s="643">
        <f>SUM(G101:AH101)</f>
        <v>0</v>
      </c>
      <c r="AM101" s="644">
        <f>AL101/4</f>
        <v>0</v>
      </c>
      <c r="AN101" s="645" t="str">
        <f>IF(C100="","",C100)</f>
        <v/>
      </c>
      <c r="AO101" s="646" t="str">
        <f>IF(D100="","",D100)</f>
        <v/>
      </c>
      <c r="AP101" s="647" t="str">
        <f>IF(D100&lt;&gt;"",VLOOKUP(D100,$AU$2:$AV$6,2,FALSE),"")</f>
        <v/>
      </c>
      <c r="AQ101" s="644">
        <f>ROUNDDOWN(AL101/$AL$6,2)</f>
        <v>0</v>
      </c>
      <c r="AR101" s="644">
        <f>IF(AP101=1,"",AQ101)</f>
        <v>0</v>
      </c>
    </row>
    <row r="102" spans="1:44" ht="15.9" hidden="1" customHeight="1">
      <c r="A102" s="582"/>
      <c r="B102" s="1655" t="s">
        <v>1280</v>
      </c>
      <c r="C102" s="1640"/>
      <c r="D102" s="1642"/>
      <c r="E102" s="1644"/>
      <c r="F102" s="627" t="s">
        <v>1233</v>
      </c>
      <c r="G102" s="628"/>
      <c r="H102" s="629"/>
      <c r="I102" s="630"/>
      <c r="J102" s="630"/>
      <c r="K102" s="630"/>
      <c r="L102" s="630"/>
      <c r="M102" s="631"/>
      <c r="N102" s="628"/>
      <c r="O102" s="629"/>
      <c r="P102" s="630"/>
      <c r="Q102" s="630"/>
      <c r="R102" s="630"/>
      <c r="S102" s="630"/>
      <c r="T102" s="631"/>
      <c r="U102" s="628"/>
      <c r="V102" s="629"/>
      <c r="W102" s="630"/>
      <c r="X102" s="630"/>
      <c r="Y102" s="630"/>
      <c r="Z102" s="630"/>
      <c r="AA102" s="631"/>
      <c r="AB102" s="628"/>
      <c r="AC102" s="629"/>
      <c r="AD102" s="630"/>
      <c r="AE102" s="630"/>
      <c r="AF102" s="630"/>
      <c r="AG102" s="630"/>
      <c r="AH102" s="631"/>
      <c r="AI102" s="648"/>
      <c r="AJ102" s="629"/>
      <c r="AK102" s="629"/>
      <c r="AL102" s="633">
        <f>SUM(G103:AK103)</f>
        <v>0</v>
      </c>
      <c r="AM102" s="634"/>
      <c r="AN102" s="635"/>
      <c r="AO102" s="636"/>
      <c r="AP102" s="634"/>
      <c r="AQ102" s="637"/>
      <c r="AR102" s="637"/>
    </row>
    <row r="103" spans="1:44" ht="15.9" hidden="1" customHeight="1">
      <c r="A103" s="582"/>
      <c r="B103" s="1655"/>
      <c r="C103" s="1656"/>
      <c r="D103" s="1657"/>
      <c r="E103" s="1658"/>
      <c r="F103" s="638" t="s">
        <v>1234</v>
      </c>
      <c r="G103" s="639" t="str">
        <f t="shared" ref="G103:AK103" si="47">IF(G102&lt;&gt;"",VLOOKUP(G102,$AC$197:$AL$221,9,FALSE),"")</f>
        <v/>
      </c>
      <c r="H103" s="640" t="str">
        <f t="shared" si="47"/>
        <v/>
      </c>
      <c r="I103" s="640" t="str">
        <f t="shared" si="47"/>
        <v/>
      </c>
      <c r="J103" s="640" t="str">
        <f t="shared" si="47"/>
        <v/>
      </c>
      <c r="K103" s="640" t="str">
        <f t="shared" si="47"/>
        <v/>
      </c>
      <c r="L103" s="640" t="str">
        <f t="shared" si="47"/>
        <v/>
      </c>
      <c r="M103" s="641" t="str">
        <f t="shared" si="47"/>
        <v/>
      </c>
      <c r="N103" s="639" t="str">
        <f t="shared" si="47"/>
        <v/>
      </c>
      <c r="O103" s="640" t="str">
        <f t="shared" si="47"/>
        <v/>
      </c>
      <c r="P103" s="640" t="str">
        <f t="shared" si="47"/>
        <v/>
      </c>
      <c r="Q103" s="640" t="str">
        <f t="shared" si="47"/>
        <v/>
      </c>
      <c r="R103" s="640" t="str">
        <f t="shared" si="47"/>
        <v/>
      </c>
      <c r="S103" s="640" t="str">
        <f t="shared" si="47"/>
        <v/>
      </c>
      <c r="T103" s="641" t="str">
        <f t="shared" si="47"/>
        <v/>
      </c>
      <c r="U103" s="639" t="str">
        <f t="shared" si="47"/>
        <v/>
      </c>
      <c r="V103" s="640" t="str">
        <f t="shared" si="47"/>
        <v/>
      </c>
      <c r="W103" s="640" t="str">
        <f t="shared" si="47"/>
        <v/>
      </c>
      <c r="X103" s="640" t="str">
        <f t="shared" si="47"/>
        <v/>
      </c>
      <c r="Y103" s="640" t="str">
        <f t="shared" si="47"/>
        <v/>
      </c>
      <c r="Z103" s="640" t="str">
        <f t="shared" si="47"/>
        <v/>
      </c>
      <c r="AA103" s="641" t="str">
        <f t="shared" si="47"/>
        <v/>
      </c>
      <c r="AB103" s="639" t="str">
        <f t="shared" si="47"/>
        <v/>
      </c>
      <c r="AC103" s="640" t="str">
        <f t="shared" si="47"/>
        <v/>
      </c>
      <c r="AD103" s="640" t="str">
        <f t="shared" si="47"/>
        <v/>
      </c>
      <c r="AE103" s="640" t="str">
        <f t="shared" si="47"/>
        <v/>
      </c>
      <c r="AF103" s="640" t="str">
        <f t="shared" si="47"/>
        <v/>
      </c>
      <c r="AG103" s="640" t="str">
        <f t="shared" si="47"/>
        <v/>
      </c>
      <c r="AH103" s="641" t="str">
        <f t="shared" si="47"/>
        <v/>
      </c>
      <c r="AI103" s="642" t="str">
        <f t="shared" si="47"/>
        <v/>
      </c>
      <c r="AJ103" s="640" t="str">
        <f t="shared" si="47"/>
        <v/>
      </c>
      <c r="AK103" s="640" t="str">
        <f t="shared" si="47"/>
        <v/>
      </c>
      <c r="AL103" s="643">
        <f>SUM(G103:AH103)</f>
        <v>0</v>
      </c>
      <c r="AM103" s="644">
        <f>AL103/4</f>
        <v>0</v>
      </c>
      <c r="AN103" s="645" t="str">
        <f>IF(C102="","",C102)</f>
        <v/>
      </c>
      <c r="AO103" s="646" t="str">
        <f>IF(D102="","",D102)</f>
        <v/>
      </c>
      <c r="AP103" s="647" t="str">
        <f>IF(D102&lt;&gt;"",VLOOKUP(D102,$AU$2:$AV$6,2,FALSE),"")</f>
        <v/>
      </c>
      <c r="AQ103" s="644">
        <f>ROUNDDOWN(AL103/$AL$6,2)</f>
        <v>0</v>
      </c>
      <c r="AR103" s="644">
        <f>IF(AP103=1,"",AQ103)</f>
        <v>0</v>
      </c>
    </row>
    <row r="104" spans="1:44" ht="15.9" hidden="1" customHeight="1">
      <c r="A104" s="582"/>
      <c r="B104" s="1655" t="s">
        <v>1281</v>
      </c>
      <c r="C104" s="1640"/>
      <c r="D104" s="1642"/>
      <c r="E104" s="1644"/>
      <c r="F104" s="627" t="s">
        <v>1233</v>
      </c>
      <c r="G104" s="628"/>
      <c r="H104" s="629"/>
      <c r="I104" s="630"/>
      <c r="J104" s="630"/>
      <c r="K104" s="630"/>
      <c r="L104" s="630"/>
      <c r="M104" s="631"/>
      <c r="N104" s="628"/>
      <c r="O104" s="629"/>
      <c r="P104" s="630"/>
      <c r="Q104" s="630"/>
      <c r="R104" s="630"/>
      <c r="S104" s="630"/>
      <c r="T104" s="631"/>
      <c r="U104" s="628"/>
      <c r="V104" s="629"/>
      <c r="W104" s="630"/>
      <c r="X104" s="630"/>
      <c r="Y104" s="630"/>
      <c r="Z104" s="630"/>
      <c r="AA104" s="631"/>
      <c r="AB104" s="628"/>
      <c r="AC104" s="629"/>
      <c r="AD104" s="630"/>
      <c r="AE104" s="630"/>
      <c r="AF104" s="630"/>
      <c r="AG104" s="630"/>
      <c r="AH104" s="631"/>
      <c r="AI104" s="648"/>
      <c r="AJ104" s="629"/>
      <c r="AK104" s="629"/>
      <c r="AL104" s="633">
        <f>SUM(G105:AK105)</f>
        <v>0</v>
      </c>
      <c r="AM104" s="634"/>
      <c r="AN104" s="635"/>
      <c r="AO104" s="636"/>
      <c r="AP104" s="634"/>
      <c r="AQ104" s="637"/>
      <c r="AR104" s="637"/>
    </row>
    <row r="105" spans="1:44" ht="15.9" hidden="1" customHeight="1">
      <c r="A105" s="582"/>
      <c r="B105" s="1655"/>
      <c r="C105" s="1656"/>
      <c r="D105" s="1657"/>
      <c r="E105" s="1658"/>
      <c r="F105" s="638" t="s">
        <v>1234</v>
      </c>
      <c r="G105" s="639" t="str">
        <f t="shared" ref="G105:AK105" si="48">IF(G104&lt;&gt;"",VLOOKUP(G104,$AC$197:$AL$221,9,FALSE),"")</f>
        <v/>
      </c>
      <c r="H105" s="640" t="str">
        <f t="shared" si="48"/>
        <v/>
      </c>
      <c r="I105" s="640" t="str">
        <f t="shared" si="48"/>
        <v/>
      </c>
      <c r="J105" s="640" t="str">
        <f t="shared" si="48"/>
        <v/>
      </c>
      <c r="K105" s="640" t="str">
        <f t="shared" si="48"/>
        <v/>
      </c>
      <c r="L105" s="640" t="str">
        <f t="shared" si="48"/>
        <v/>
      </c>
      <c r="M105" s="641" t="str">
        <f t="shared" si="48"/>
        <v/>
      </c>
      <c r="N105" s="639" t="str">
        <f t="shared" si="48"/>
        <v/>
      </c>
      <c r="O105" s="640" t="str">
        <f t="shared" si="48"/>
        <v/>
      </c>
      <c r="P105" s="640" t="str">
        <f t="shared" si="48"/>
        <v/>
      </c>
      <c r="Q105" s="640" t="str">
        <f t="shared" si="48"/>
        <v/>
      </c>
      <c r="R105" s="640" t="str">
        <f t="shared" si="48"/>
        <v/>
      </c>
      <c r="S105" s="640" t="str">
        <f t="shared" si="48"/>
        <v/>
      </c>
      <c r="T105" s="641" t="str">
        <f t="shared" si="48"/>
        <v/>
      </c>
      <c r="U105" s="639" t="str">
        <f t="shared" si="48"/>
        <v/>
      </c>
      <c r="V105" s="640" t="str">
        <f t="shared" si="48"/>
        <v/>
      </c>
      <c r="W105" s="640" t="str">
        <f t="shared" si="48"/>
        <v/>
      </c>
      <c r="X105" s="640" t="str">
        <f t="shared" si="48"/>
        <v/>
      </c>
      <c r="Y105" s="640" t="str">
        <f t="shared" si="48"/>
        <v/>
      </c>
      <c r="Z105" s="640" t="str">
        <f t="shared" si="48"/>
        <v/>
      </c>
      <c r="AA105" s="641" t="str">
        <f t="shared" si="48"/>
        <v/>
      </c>
      <c r="AB105" s="639" t="str">
        <f t="shared" si="48"/>
        <v/>
      </c>
      <c r="AC105" s="640" t="str">
        <f t="shared" si="48"/>
        <v/>
      </c>
      <c r="AD105" s="640" t="str">
        <f t="shared" si="48"/>
        <v/>
      </c>
      <c r="AE105" s="640" t="str">
        <f t="shared" si="48"/>
        <v/>
      </c>
      <c r="AF105" s="640" t="str">
        <f t="shared" si="48"/>
        <v/>
      </c>
      <c r="AG105" s="640" t="str">
        <f t="shared" si="48"/>
        <v/>
      </c>
      <c r="AH105" s="641" t="str">
        <f t="shared" si="48"/>
        <v/>
      </c>
      <c r="AI105" s="642" t="str">
        <f t="shared" si="48"/>
        <v/>
      </c>
      <c r="AJ105" s="640" t="str">
        <f t="shared" si="48"/>
        <v/>
      </c>
      <c r="AK105" s="640" t="str">
        <f t="shared" si="48"/>
        <v/>
      </c>
      <c r="AL105" s="643">
        <f>SUM(G105:AH105)</f>
        <v>0</v>
      </c>
      <c r="AM105" s="644">
        <f>AL105/4</f>
        <v>0</v>
      </c>
      <c r="AN105" s="645" t="str">
        <f>IF(C104="","",C104)</f>
        <v/>
      </c>
      <c r="AO105" s="646" t="str">
        <f>IF(D104="","",D104)</f>
        <v/>
      </c>
      <c r="AP105" s="647" t="str">
        <f>IF(D104&lt;&gt;"",VLOOKUP(D104,$AU$2:$AV$6,2,FALSE),"")</f>
        <v/>
      </c>
      <c r="AQ105" s="644">
        <f>ROUNDDOWN(AL105/$AL$6,2)</f>
        <v>0</v>
      </c>
      <c r="AR105" s="644">
        <f>IF(AP105=1,"",AQ105)</f>
        <v>0</v>
      </c>
    </row>
    <row r="106" spans="1:44" ht="15.9" hidden="1" customHeight="1">
      <c r="A106" s="582"/>
      <c r="B106" s="1655" t="s">
        <v>1282</v>
      </c>
      <c r="C106" s="1640"/>
      <c r="D106" s="1642"/>
      <c r="E106" s="1644"/>
      <c r="F106" s="627" t="s">
        <v>1233</v>
      </c>
      <c r="G106" s="628"/>
      <c r="H106" s="629"/>
      <c r="I106" s="630"/>
      <c r="J106" s="630"/>
      <c r="K106" s="630"/>
      <c r="L106" s="630"/>
      <c r="M106" s="631"/>
      <c r="N106" s="628"/>
      <c r="O106" s="629"/>
      <c r="P106" s="630"/>
      <c r="Q106" s="630"/>
      <c r="R106" s="630"/>
      <c r="S106" s="630"/>
      <c r="T106" s="631"/>
      <c r="U106" s="628"/>
      <c r="V106" s="629"/>
      <c r="W106" s="630"/>
      <c r="X106" s="630"/>
      <c r="Y106" s="630"/>
      <c r="Z106" s="630"/>
      <c r="AA106" s="631"/>
      <c r="AB106" s="628"/>
      <c r="AC106" s="629"/>
      <c r="AD106" s="630"/>
      <c r="AE106" s="630"/>
      <c r="AF106" s="630"/>
      <c r="AG106" s="630"/>
      <c r="AH106" s="631"/>
      <c r="AI106" s="632"/>
      <c r="AJ106" s="630"/>
      <c r="AK106" s="630"/>
      <c r="AL106" s="633">
        <f>SUM(G107:AK107)</f>
        <v>0</v>
      </c>
      <c r="AM106" s="634"/>
      <c r="AN106" s="635"/>
      <c r="AO106" s="636"/>
      <c r="AP106" s="634"/>
      <c r="AQ106" s="637"/>
      <c r="AR106" s="637"/>
    </row>
    <row r="107" spans="1:44" ht="15.9" hidden="1" customHeight="1">
      <c r="A107" s="582"/>
      <c r="B107" s="1655"/>
      <c r="C107" s="1656"/>
      <c r="D107" s="1657"/>
      <c r="E107" s="1658"/>
      <c r="F107" s="638" t="s">
        <v>1234</v>
      </c>
      <c r="G107" s="639" t="str">
        <f t="shared" ref="G107:AK107" si="49">IF(G106&lt;&gt;"",VLOOKUP(G106,$AC$197:$AL$221,9,FALSE),"")</f>
        <v/>
      </c>
      <c r="H107" s="640" t="str">
        <f t="shared" si="49"/>
        <v/>
      </c>
      <c r="I107" s="640" t="str">
        <f t="shared" si="49"/>
        <v/>
      </c>
      <c r="J107" s="640" t="str">
        <f t="shared" si="49"/>
        <v/>
      </c>
      <c r="K107" s="640" t="str">
        <f t="shared" si="49"/>
        <v/>
      </c>
      <c r="L107" s="640" t="str">
        <f t="shared" si="49"/>
        <v/>
      </c>
      <c r="M107" s="641" t="str">
        <f t="shared" si="49"/>
        <v/>
      </c>
      <c r="N107" s="639" t="str">
        <f t="shared" si="49"/>
        <v/>
      </c>
      <c r="O107" s="640" t="str">
        <f t="shared" si="49"/>
        <v/>
      </c>
      <c r="P107" s="640" t="str">
        <f t="shared" si="49"/>
        <v/>
      </c>
      <c r="Q107" s="640" t="str">
        <f t="shared" si="49"/>
        <v/>
      </c>
      <c r="R107" s="640" t="str">
        <f t="shared" si="49"/>
        <v/>
      </c>
      <c r="S107" s="640" t="str">
        <f t="shared" si="49"/>
        <v/>
      </c>
      <c r="T107" s="641" t="str">
        <f t="shared" si="49"/>
        <v/>
      </c>
      <c r="U107" s="639" t="str">
        <f t="shared" si="49"/>
        <v/>
      </c>
      <c r="V107" s="640" t="str">
        <f t="shared" si="49"/>
        <v/>
      </c>
      <c r="W107" s="640" t="str">
        <f t="shared" si="49"/>
        <v/>
      </c>
      <c r="X107" s="640" t="str">
        <f t="shared" si="49"/>
        <v/>
      </c>
      <c r="Y107" s="640" t="str">
        <f t="shared" si="49"/>
        <v/>
      </c>
      <c r="Z107" s="640" t="str">
        <f t="shared" si="49"/>
        <v/>
      </c>
      <c r="AA107" s="641" t="str">
        <f t="shared" si="49"/>
        <v/>
      </c>
      <c r="AB107" s="639" t="str">
        <f t="shared" si="49"/>
        <v/>
      </c>
      <c r="AC107" s="640" t="str">
        <f t="shared" si="49"/>
        <v/>
      </c>
      <c r="AD107" s="640" t="str">
        <f t="shared" si="49"/>
        <v/>
      </c>
      <c r="AE107" s="640" t="str">
        <f t="shared" si="49"/>
        <v/>
      </c>
      <c r="AF107" s="640" t="str">
        <f t="shared" si="49"/>
        <v/>
      </c>
      <c r="AG107" s="640" t="str">
        <f t="shared" si="49"/>
        <v/>
      </c>
      <c r="AH107" s="641" t="str">
        <f t="shared" si="49"/>
        <v/>
      </c>
      <c r="AI107" s="642" t="str">
        <f t="shared" si="49"/>
        <v/>
      </c>
      <c r="AJ107" s="640" t="str">
        <f t="shared" si="49"/>
        <v/>
      </c>
      <c r="AK107" s="640" t="str">
        <f t="shared" si="49"/>
        <v/>
      </c>
      <c r="AL107" s="643">
        <f>SUM(G107:AH107)</f>
        <v>0</v>
      </c>
      <c r="AM107" s="644">
        <f>AL107/4</f>
        <v>0</v>
      </c>
      <c r="AN107" s="645" t="str">
        <f>IF(C106="","",C106)</f>
        <v/>
      </c>
      <c r="AO107" s="646" t="str">
        <f>IF(D106="","",D106)</f>
        <v/>
      </c>
      <c r="AP107" s="647" t="str">
        <f>IF(D106&lt;&gt;"",VLOOKUP(D106,$AU$2:$AV$6,2,FALSE),"")</f>
        <v/>
      </c>
      <c r="AQ107" s="644">
        <f>ROUNDDOWN(AL107/$AL$6,2)</f>
        <v>0</v>
      </c>
      <c r="AR107" s="644">
        <f>IF(AP107=1,"",AQ107)</f>
        <v>0</v>
      </c>
    </row>
    <row r="108" spans="1:44" ht="15.9" hidden="1" customHeight="1">
      <c r="A108" s="582"/>
      <c r="B108" s="1655" t="s">
        <v>1283</v>
      </c>
      <c r="C108" s="1640"/>
      <c r="D108" s="1642"/>
      <c r="E108" s="1644"/>
      <c r="F108" s="627" t="s">
        <v>1233</v>
      </c>
      <c r="G108" s="628"/>
      <c r="H108" s="629"/>
      <c r="I108" s="630"/>
      <c r="J108" s="630"/>
      <c r="K108" s="630"/>
      <c r="L108" s="630"/>
      <c r="M108" s="631"/>
      <c r="N108" s="628"/>
      <c r="O108" s="629"/>
      <c r="P108" s="630"/>
      <c r="Q108" s="630"/>
      <c r="R108" s="630"/>
      <c r="S108" s="630"/>
      <c r="T108" s="631"/>
      <c r="U108" s="628"/>
      <c r="V108" s="629"/>
      <c r="W108" s="630"/>
      <c r="X108" s="630"/>
      <c r="Y108" s="630"/>
      <c r="Z108" s="630"/>
      <c r="AA108" s="631"/>
      <c r="AB108" s="628"/>
      <c r="AC108" s="629"/>
      <c r="AD108" s="630"/>
      <c r="AE108" s="630"/>
      <c r="AF108" s="630"/>
      <c r="AG108" s="630"/>
      <c r="AH108" s="631"/>
      <c r="AI108" s="632"/>
      <c r="AJ108" s="630"/>
      <c r="AK108" s="630"/>
      <c r="AL108" s="633">
        <f>SUM(G109:AK109)</f>
        <v>0</v>
      </c>
      <c r="AM108" s="634"/>
      <c r="AN108" s="635"/>
      <c r="AO108" s="636"/>
      <c r="AP108" s="634"/>
      <c r="AQ108" s="637"/>
      <c r="AR108" s="637"/>
    </row>
    <row r="109" spans="1:44" ht="15.9" hidden="1" customHeight="1">
      <c r="A109" s="582"/>
      <c r="B109" s="1655"/>
      <c r="C109" s="1656"/>
      <c r="D109" s="1657"/>
      <c r="E109" s="1658"/>
      <c r="F109" s="638" t="s">
        <v>1234</v>
      </c>
      <c r="G109" s="639" t="str">
        <f t="shared" ref="G109:AK109" si="50">IF(G108&lt;&gt;"",VLOOKUP(G108,$AC$197:$AL$221,9,FALSE),"")</f>
        <v/>
      </c>
      <c r="H109" s="640" t="str">
        <f t="shared" si="50"/>
        <v/>
      </c>
      <c r="I109" s="640" t="str">
        <f t="shared" si="50"/>
        <v/>
      </c>
      <c r="J109" s="640" t="str">
        <f t="shared" si="50"/>
        <v/>
      </c>
      <c r="K109" s="640" t="str">
        <f t="shared" si="50"/>
        <v/>
      </c>
      <c r="L109" s="640" t="str">
        <f t="shared" si="50"/>
        <v/>
      </c>
      <c r="M109" s="641" t="str">
        <f t="shared" si="50"/>
        <v/>
      </c>
      <c r="N109" s="639" t="str">
        <f t="shared" si="50"/>
        <v/>
      </c>
      <c r="O109" s="640" t="str">
        <f t="shared" si="50"/>
        <v/>
      </c>
      <c r="P109" s="640" t="str">
        <f t="shared" si="50"/>
        <v/>
      </c>
      <c r="Q109" s="640" t="str">
        <f t="shared" si="50"/>
        <v/>
      </c>
      <c r="R109" s="640" t="str">
        <f t="shared" si="50"/>
        <v/>
      </c>
      <c r="S109" s="640" t="str">
        <f t="shared" si="50"/>
        <v/>
      </c>
      <c r="T109" s="641" t="str">
        <f t="shared" si="50"/>
        <v/>
      </c>
      <c r="U109" s="639" t="str">
        <f t="shared" si="50"/>
        <v/>
      </c>
      <c r="V109" s="640" t="str">
        <f t="shared" si="50"/>
        <v/>
      </c>
      <c r="W109" s="640" t="str">
        <f t="shared" si="50"/>
        <v/>
      </c>
      <c r="X109" s="640" t="str">
        <f t="shared" si="50"/>
        <v/>
      </c>
      <c r="Y109" s="640" t="str">
        <f t="shared" si="50"/>
        <v/>
      </c>
      <c r="Z109" s="640" t="str">
        <f t="shared" si="50"/>
        <v/>
      </c>
      <c r="AA109" s="641" t="str">
        <f t="shared" si="50"/>
        <v/>
      </c>
      <c r="AB109" s="639" t="str">
        <f t="shared" si="50"/>
        <v/>
      </c>
      <c r="AC109" s="640" t="str">
        <f t="shared" si="50"/>
        <v/>
      </c>
      <c r="AD109" s="640" t="str">
        <f t="shared" si="50"/>
        <v/>
      </c>
      <c r="AE109" s="640" t="str">
        <f t="shared" si="50"/>
        <v/>
      </c>
      <c r="AF109" s="640" t="str">
        <f t="shared" si="50"/>
        <v/>
      </c>
      <c r="AG109" s="640" t="str">
        <f t="shared" si="50"/>
        <v/>
      </c>
      <c r="AH109" s="641" t="str">
        <f t="shared" si="50"/>
        <v/>
      </c>
      <c r="AI109" s="642" t="str">
        <f t="shared" si="50"/>
        <v/>
      </c>
      <c r="AJ109" s="640" t="str">
        <f t="shared" si="50"/>
        <v/>
      </c>
      <c r="AK109" s="640" t="str">
        <f t="shared" si="50"/>
        <v/>
      </c>
      <c r="AL109" s="643">
        <f>SUM(G109:AH109)</f>
        <v>0</v>
      </c>
      <c r="AM109" s="644">
        <f>AL109/4</f>
        <v>0</v>
      </c>
      <c r="AN109" s="645" t="str">
        <f>IF(C108="","",C108)</f>
        <v/>
      </c>
      <c r="AO109" s="646" t="str">
        <f>IF(D108="","",D108)</f>
        <v/>
      </c>
      <c r="AP109" s="647" t="str">
        <f>IF(D108&lt;&gt;"",VLOOKUP(D108,$AU$2:$AV$6,2,FALSE),"")</f>
        <v/>
      </c>
      <c r="AQ109" s="644">
        <f>ROUNDDOWN(AL109/$AL$6,2)</f>
        <v>0</v>
      </c>
      <c r="AR109" s="644">
        <f>IF(AP109=1,"",AQ109)</f>
        <v>0</v>
      </c>
    </row>
    <row r="110" spans="1:44" ht="15.9" hidden="1" customHeight="1">
      <c r="A110" s="582"/>
      <c r="B110" s="1655" t="s">
        <v>1284</v>
      </c>
      <c r="C110" s="1640"/>
      <c r="D110" s="1642"/>
      <c r="E110" s="1644"/>
      <c r="F110" s="627" t="s">
        <v>1233</v>
      </c>
      <c r="G110" s="628"/>
      <c r="H110" s="629"/>
      <c r="I110" s="630"/>
      <c r="J110" s="630"/>
      <c r="K110" s="630"/>
      <c r="L110" s="630"/>
      <c r="M110" s="631"/>
      <c r="N110" s="628"/>
      <c r="O110" s="629"/>
      <c r="P110" s="630"/>
      <c r="Q110" s="630"/>
      <c r="R110" s="630"/>
      <c r="S110" s="630"/>
      <c r="T110" s="631"/>
      <c r="U110" s="628"/>
      <c r="V110" s="629"/>
      <c r="W110" s="630"/>
      <c r="X110" s="630"/>
      <c r="Y110" s="630"/>
      <c r="Z110" s="630"/>
      <c r="AA110" s="631"/>
      <c r="AB110" s="628"/>
      <c r="AC110" s="629"/>
      <c r="AD110" s="630"/>
      <c r="AE110" s="630"/>
      <c r="AF110" s="630"/>
      <c r="AG110" s="630"/>
      <c r="AH110" s="631"/>
      <c r="AI110" s="648"/>
      <c r="AJ110" s="629"/>
      <c r="AK110" s="629"/>
      <c r="AL110" s="633">
        <f>SUM(G111:AK111)</f>
        <v>0</v>
      </c>
      <c r="AM110" s="634"/>
      <c r="AN110" s="635"/>
      <c r="AO110" s="636"/>
      <c r="AP110" s="634"/>
      <c r="AQ110" s="637"/>
      <c r="AR110" s="637"/>
    </row>
    <row r="111" spans="1:44" ht="15.9" hidden="1" customHeight="1">
      <c r="A111" s="582"/>
      <c r="B111" s="1655"/>
      <c r="C111" s="1656"/>
      <c r="D111" s="1657"/>
      <c r="E111" s="1658"/>
      <c r="F111" s="638" t="s">
        <v>1234</v>
      </c>
      <c r="G111" s="639" t="str">
        <f t="shared" ref="G111:AK111" si="51">IF(G110&lt;&gt;"",VLOOKUP(G110,$AC$197:$AL$221,9,FALSE),"")</f>
        <v/>
      </c>
      <c r="H111" s="640" t="str">
        <f t="shared" si="51"/>
        <v/>
      </c>
      <c r="I111" s="640" t="str">
        <f t="shared" si="51"/>
        <v/>
      </c>
      <c r="J111" s="640" t="str">
        <f t="shared" si="51"/>
        <v/>
      </c>
      <c r="K111" s="640" t="str">
        <f t="shared" si="51"/>
        <v/>
      </c>
      <c r="L111" s="640" t="str">
        <f t="shared" si="51"/>
        <v/>
      </c>
      <c r="M111" s="641" t="str">
        <f t="shared" si="51"/>
        <v/>
      </c>
      <c r="N111" s="639" t="str">
        <f t="shared" si="51"/>
        <v/>
      </c>
      <c r="O111" s="640" t="str">
        <f t="shared" si="51"/>
        <v/>
      </c>
      <c r="P111" s="640" t="str">
        <f t="shared" si="51"/>
        <v/>
      </c>
      <c r="Q111" s="640" t="str">
        <f t="shared" si="51"/>
        <v/>
      </c>
      <c r="R111" s="640" t="str">
        <f t="shared" si="51"/>
        <v/>
      </c>
      <c r="S111" s="640" t="str">
        <f t="shared" si="51"/>
        <v/>
      </c>
      <c r="T111" s="641" t="str">
        <f t="shared" si="51"/>
        <v/>
      </c>
      <c r="U111" s="639" t="str">
        <f t="shared" si="51"/>
        <v/>
      </c>
      <c r="V111" s="640" t="str">
        <f t="shared" si="51"/>
        <v/>
      </c>
      <c r="W111" s="640" t="str">
        <f t="shared" si="51"/>
        <v/>
      </c>
      <c r="X111" s="640" t="str">
        <f t="shared" si="51"/>
        <v/>
      </c>
      <c r="Y111" s="640" t="str">
        <f t="shared" si="51"/>
        <v/>
      </c>
      <c r="Z111" s="640" t="str">
        <f t="shared" si="51"/>
        <v/>
      </c>
      <c r="AA111" s="641" t="str">
        <f t="shared" si="51"/>
        <v/>
      </c>
      <c r="AB111" s="639" t="str">
        <f t="shared" si="51"/>
        <v/>
      </c>
      <c r="AC111" s="640" t="str">
        <f t="shared" si="51"/>
        <v/>
      </c>
      <c r="AD111" s="640" t="str">
        <f t="shared" si="51"/>
        <v/>
      </c>
      <c r="AE111" s="640" t="str">
        <f t="shared" si="51"/>
        <v/>
      </c>
      <c r="AF111" s="640" t="str">
        <f t="shared" si="51"/>
        <v/>
      </c>
      <c r="AG111" s="640" t="str">
        <f t="shared" si="51"/>
        <v/>
      </c>
      <c r="AH111" s="641" t="str">
        <f t="shared" si="51"/>
        <v/>
      </c>
      <c r="AI111" s="642" t="str">
        <f t="shared" si="51"/>
        <v/>
      </c>
      <c r="AJ111" s="640" t="str">
        <f t="shared" si="51"/>
        <v/>
      </c>
      <c r="AK111" s="640" t="str">
        <f t="shared" si="51"/>
        <v/>
      </c>
      <c r="AL111" s="643">
        <f>SUM(G111:AH111)</f>
        <v>0</v>
      </c>
      <c r="AM111" s="644">
        <f>AL111/4</f>
        <v>0</v>
      </c>
      <c r="AN111" s="645" t="str">
        <f>IF(C110="","",C110)</f>
        <v/>
      </c>
      <c r="AO111" s="646" t="str">
        <f>IF(D110="","",D110)</f>
        <v/>
      </c>
      <c r="AP111" s="647" t="str">
        <f>IF(D110&lt;&gt;"",VLOOKUP(D110,$AU$2:$AV$6,2,FALSE),"")</f>
        <v/>
      </c>
      <c r="AQ111" s="644">
        <f>ROUNDDOWN(AL111/$AL$6,2)</f>
        <v>0</v>
      </c>
      <c r="AR111" s="644">
        <f>IF(AP111=1,"",AQ111)</f>
        <v>0</v>
      </c>
    </row>
    <row r="112" spans="1:44" ht="15.9" hidden="1" customHeight="1">
      <c r="A112" s="582"/>
      <c r="B112" s="1655" t="s">
        <v>1285</v>
      </c>
      <c r="C112" s="1640"/>
      <c r="D112" s="1642"/>
      <c r="E112" s="1644"/>
      <c r="F112" s="627" t="s">
        <v>1233</v>
      </c>
      <c r="G112" s="628"/>
      <c r="H112" s="629"/>
      <c r="I112" s="630"/>
      <c r="J112" s="630"/>
      <c r="K112" s="630"/>
      <c r="L112" s="630"/>
      <c r="M112" s="631"/>
      <c r="N112" s="628"/>
      <c r="O112" s="629"/>
      <c r="P112" s="630"/>
      <c r="Q112" s="630"/>
      <c r="R112" s="630"/>
      <c r="S112" s="630"/>
      <c r="T112" s="631"/>
      <c r="U112" s="628"/>
      <c r="V112" s="629"/>
      <c r="W112" s="630"/>
      <c r="X112" s="630"/>
      <c r="Y112" s="630"/>
      <c r="Z112" s="630"/>
      <c r="AA112" s="631"/>
      <c r="AB112" s="628"/>
      <c r="AC112" s="629"/>
      <c r="AD112" s="630"/>
      <c r="AE112" s="630"/>
      <c r="AF112" s="630"/>
      <c r="AG112" s="630"/>
      <c r="AH112" s="631"/>
      <c r="AI112" s="648"/>
      <c r="AJ112" s="629"/>
      <c r="AK112" s="629"/>
      <c r="AL112" s="633">
        <f>SUM(G113:AK113)</f>
        <v>0</v>
      </c>
      <c r="AM112" s="634"/>
      <c r="AN112" s="635"/>
      <c r="AO112" s="636"/>
      <c r="AP112" s="634"/>
      <c r="AQ112" s="637"/>
      <c r="AR112" s="637"/>
    </row>
    <row r="113" spans="1:44" ht="15.9" hidden="1" customHeight="1">
      <c r="A113" s="582"/>
      <c r="B113" s="1655"/>
      <c r="C113" s="1656"/>
      <c r="D113" s="1657"/>
      <c r="E113" s="1658"/>
      <c r="F113" s="638" t="s">
        <v>1234</v>
      </c>
      <c r="G113" s="639" t="str">
        <f t="shared" ref="G113:AK113" si="52">IF(G112&lt;&gt;"",VLOOKUP(G112,$AC$197:$AL$221,9,FALSE),"")</f>
        <v/>
      </c>
      <c r="H113" s="640" t="str">
        <f t="shared" si="52"/>
        <v/>
      </c>
      <c r="I113" s="640" t="str">
        <f t="shared" si="52"/>
        <v/>
      </c>
      <c r="J113" s="640" t="str">
        <f t="shared" si="52"/>
        <v/>
      </c>
      <c r="K113" s="640" t="str">
        <f t="shared" si="52"/>
        <v/>
      </c>
      <c r="L113" s="640" t="str">
        <f t="shared" si="52"/>
        <v/>
      </c>
      <c r="M113" s="641" t="str">
        <f t="shared" si="52"/>
        <v/>
      </c>
      <c r="N113" s="639" t="str">
        <f t="shared" si="52"/>
        <v/>
      </c>
      <c r="O113" s="640" t="str">
        <f t="shared" si="52"/>
        <v/>
      </c>
      <c r="P113" s="640" t="str">
        <f t="shared" si="52"/>
        <v/>
      </c>
      <c r="Q113" s="640" t="str">
        <f t="shared" si="52"/>
        <v/>
      </c>
      <c r="R113" s="640" t="str">
        <f t="shared" si="52"/>
        <v/>
      </c>
      <c r="S113" s="640" t="str">
        <f t="shared" si="52"/>
        <v/>
      </c>
      <c r="T113" s="641" t="str">
        <f t="shared" si="52"/>
        <v/>
      </c>
      <c r="U113" s="639" t="str">
        <f t="shared" si="52"/>
        <v/>
      </c>
      <c r="V113" s="640" t="str">
        <f t="shared" si="52"/>
        <v/>
      </c>
      <c r="W113" s="640" t="str">
        <f t="shared" si="52"/>
        <v/>
      </c>
      <c r="X113" s="640" t="str">
        <f t="shared" si="52"/>
        <v/>
      </c>
      <c r="Y113" s="640" t="str">
        <f t="shared" si="52"/>
        <v/>
      </c>
      <c r="Z113" s="640" t="str">
        <f t="shared" si="52"/>
        <v/>
      </c>
      <c r="AA113" s="641" t="str">
        <f t="shared" si="52"/>
        <v/>
      </c>
      <c r="AB113" s="639" t="str">
        <f t="shared" si="52"/>
        <v/>
      </c>
      <c r="AC113" s="640" t="str">
        <f t="shared" si="52"/>
        <v/>
      </c>
      <c r="AD113" s="640" t="str">
        <f t="shared" si="52"/>
        <v/>
      </c>
      <c r="AE113" s="640" t="str">
        <f t="shared" si="52"/>
        <v/>
      </c>
      <c r="AF113" s="640" t="str">
        <f t="shared" si="52"/>
        <v/>
      </c>
      <c r="AG113" s="640" t="str">
        <f t="shared" si="52"/>
        <v/>
      </c>
      <c r="AH113" s="641" t="str">
        <f t="shared" si="52"/>
        <v/>
      </c>
      <c r="AI113" s="642" t="str">
        <f t="shared" si="52"/>
        <v/>
      </c>
      <c r="AJ113" s="640" t="str">
        <f t="shared" si="52"/>
        <v/>
      </c>
      <c r="AK113" s="640" t="str">
        <f t="shared" si="52"/>
        <v/>
      </c>
      <c r="AL113" s="643">
        <f>SUM(G113:AH113)</f>
        <v>0</v>
      </c>
      <c r="AM113" s="644">
        <f>AL113/4</f>
        <v>0</v>
      </c>
      <c r="AN113" s="645" t="str">
        <f>IF(C112="","",C112)</f>
        <v/>
      </c>
      <c r="AO113" s="646" t="str">
        <f>IF(D112="","",D112)</f>
        <v/>
      </c>
      <c r="AP113" s="647" t="str">
        <f>IF(D112&lt;&gt;"",VLOOKUP(D112,$AU$2:$AV$6,2,FALSE),"")</f>
        <v/>
      </c>
      <c r="AQ113" s="644">
        <f>ROUNDDOWN(AL113/$AL$6,2)</f>
        <v>0</v>
      </c>
      <c r="AR113" s="644">
        <f>IF(AP113=1,"",AQ113)</f>
        <v>0</v>
      </c>
    </row>
    <row r="114" spans="1:44" ht="15.9" hidden="1" customHeight="1">
      <c r="A114" s="582"/>
      <c r="B114" s="1655" t="s">
        <v>1286</v>
      </c>
      <c r="C114" s="1640"/>
      <c r="D114" s="1642"/>
      <c r="E114" s="1644"/>
      <c r="F114" s="627" t="s">
        <v>1233</v>
      </c>
      <c r="G114" s="628"/>
      <c r="H114" s="629"/>
      <c r="I114" s="630"/>
      <c r="J114" s="630"/>
      <c r="K114" s="630"/>
      <c r="L114" s="630"/>
      <c r="M114" s="631"/>
      <c r="N114" s="628"/>
      <c r="O114" s="629"/>
      <c r="P114" s="630"/>
      <c r="Q114" s="630"/>
      <c r="R114" s="630"/>
      <c r="S114" s="630"/>
      <c r="T114" s="631"/>
      <c r="U114" s="628"/>
      <c r="V114" s="629"/>
      <c r="W114" s="630"/>
      <c r="X114" s="630"/>
      <c r="Y114" s="630"/>
      <c r="Z114" s="630"/>
      <c r="AA114" s="631"/>
      <c r="AB114" s="628"/>
      <c r="AC114" s="629"/>
      <c r="AD114" s="630"/>
      <c r="AE114" s="630"/>
      <c r="AF114" s="630"/>
      <c r="AG114" s="630"/>
      <c r="AH114" s="631"/>
      <c r="AI114" s="632"/>
      <c r="AJ114" s="630"/>
      <c r="AK114" s="630"/>
      <c r="AL114" s="633">
        <f>SUM(G115:AK115)</f>
        <v>0</v>
      </c>
      <c r="AM114" s="634"/>
      <c r="AN114" s="635"/>
      <c r="AO114" s="636"/>
      <c r="AP114" s="634"/>
      <c r="AQ114" s="637"/>
      <c r="AR114" s="637"/>
    </row>
    <row r="115" spans="1:44" ht="15.9" hidden="1" customHeight="1">
      <c r="A115" s="582"/>
      <c r="B115" s="1655"/>
      <c r="C115" s="1656"/>
      <c r="D115" s="1657"/>
      <c r="E115" s="1658"/>
      <c r="F115" s="638" t="s">
        <v>1234</v>
      </c>
      <c r="G115" s="639" t="str">
        <f t="shared" ref="G115:AK115" si="53">IF(G114&lt;&gt;"",VLOOKUP(G114,$AC$197:$AL$221,9,FALSE),"")</f>
        <v/>
      </c>
      <c r="H115" s="640" t="str">
        <f t="shared" si="53"/>
        <v/>
      </c>
      <c r="I115" s="640" t="str">
        <f t="shared" si="53"/>
        <v/>
      </c>
      <c r="J115" s="640" t="str">
        <f t="shared" si="53"/>
        <v/>
      </c>
      <c r="K115" s="640" t="str">
        <f t="shared" si="53"/>
        <v/>
      </c>
      <c r="L115" s="640" t="str">
        <f t="shared" si="53"/>
        <v/>
      </c>
      <c r="M115" s="641" t="str">
        <f t="shared" si="53"/>
        <v/>
      </c>
      <c r="N115" s="639" t="str">
        <f t="shared" si="53"/>
        <v/>
      </c>
      <c r="O115" s="640" t="str">
        <f t="shared" si="53"/>
        <v/>
      </c>
      <c r="P115" s="640" t="str">
        <f t="shared" si="53"/>
        <v/>
      </c>
      <c r="Q115" s="640" t="str">
        <f t="shared" si="53"/>
        <v/>
      </c>
      <c r="R115" s="640" t="str">
        <f t="shared" si="53"/>
        <v/>
      </c>
      <c r="S115" s="640" t="str">
        <f t="shared" si="53"/>
        <v/>
      </c>
      <c r="T115" s="641" t="str">
        <f t="shared" si="53"/>
        <v/>
      </c>
      <c r="U115" s="639" t="str">
        <f t="shared" si="53"/>
        <v/>
      </c>
      <c r="V115" s="640" t="str">
        <f t="shared" si="53"/>
        <v/>
      </c>
      <c r="W115" s="640" t="str">
        <f t="shared" si="53"/>
        <v/>
      </c>
      <c r="X115" s="640" t="str">
        <f t="shared" si="53"/>
        <v/>
      </c>
      <c r="Y115" s="640" t="str">
        <f t="shared" si="53"/>
        <v/>
      </c>
      <c r="Z115" s="640" t="str">
        <f t="shared" si="53"/>
        <v/>
      </c>
      <c r="AA115" s="641" t="str">
        <f t="shared" si="53"/>
        <v/>
      </c>
      <c r="AB115" s="639" t="str">
        <f t="shared" si="53"/>
        <v/>
      </c>
      <c r="AC115" s="640" t="str">
        <f t="shared" si="53"/>
        <v/>
      </c>
      <c r="AD115" s="640" t="str">
        <f t="shared" si="53"/>
        <v/>
      </c>
      <c r="AE115" s="640" t="str">
        <f t="shared" si="53"/>
        <v/>
      </c>
      <c r="AF115" s="640" t="str">
        <f t="shared" si="53"/>
        <v/>
      </c>
      <c r="AG115" s="640" t="str">
        <f t="shared" si="53"/>
        <v/>
      </c>
      <c r="AH115" s="641" t="str">
        <f t="shared" si="53"/>
        <v/>
      </c>
      <c r="AI115" s="642" t="str">
        <f t="shared" si="53"/>
        <v/>
      </c>
      <c r="AJ115" s="640" t="str">
        <f t="shared" si="53"/>
        <v/>
      </c>
      <c r="AK115" s="640" t="str">
        <f t="shared" si="53"/>
        <v/>
      </c>
      <c r="AL115" s="643">
        <f>SUM(G115:AH115)</f>
        <v>0</v>
      </c>
      <c r="AM115" s="644">
        <f>AL115/4</f>
        <v>0</v>
      </c>
      <c r="AN115" s="645" t="str">
        <f>IF(C114="","",C114)</f>
        <v/>
      </c>
      <c r="AO115" s="646" t="str">
        <f>IF(D114="","",D114)</f>
        <v/>
      </c>
      <c r="AP115" s="647" t="str">
        <f>IF(D114&lt;&gt;"",VLOOKUP(D114,$AU$2:$AV$6,2,FALSE),"")</f>
        <v/>
      </c>
      <c r="AQ115" s="644">
        <f>ROUNDDOWN(AL115/$AL$6,2)</f>
        <v>0</v>
      </c>
      <c r="AR115" s="644">
        <f>IF(AP115=1,"",AQ115)</f>
        <v>0</v>
      </c>
    </row>
    <row r="116" spans="1:44" ht="15.9" hidden="1" customHeight="1">
      <c r="A116" s="582"/>
      <c r="B116" s="1655" t="s">
        <v>1287</v>
      </c>
      <c r="C116" s="1640"/>
      <c r="D116" s="1642"/>
      <c r="E116" s="1644"/>
      <c r="F116" s="627" t="s">
        <v>1233</v>
      </c>
      <c r="G116" s="628"/>
      <c r="H116" s="629"/>
      <c r="I116" s="630"/>
      <c r="J116" s="630"/>
      <c r="K116" s="630"/>
      <c r="L116" s="630"/>
      <c r="M116" s="631"/>
      <c r="N116" s="628"/>
      <c r="O116" s="629"/>
      <c r="P116" s="630"/>
      <c r="Q116" s="630"/>
      <c r="R116" s="630"/>
      <c r="S116" s="630"/>
      <c r="T116" s="631"/>
      <c r="U116" s="628"/>
      <c r="V116" s="629"/>
      <c r="W116" s="630"/>
      <c r="X116" s="630"/>
      <c r="Y116" s="630"/>
      <c r="Z116" s="630"/>
      <c r="AA116" s="631"/>
      <c r="AB116" s="628"/>
      <c r="AC116" s="629"/>
      <c r="AD116" s="630"/>
      <c r="AE116" s="630"/>
      <c r="AF116" s="630"/>
      <c r="AG116" s="630"/>
      <c r="AH116" s="631"/>
      <c r="AI116" s="632"/>
      <c r="AJ116" s="630"/>
      <c r="AK116" s="630"/>
      <c r="AL116" s="633">
        <f>SUM(G117:AK117)</f>
        <v>0</v>
      </c>
      <c r="AM116" s="634"/>
      <c r="AN116" s="635"/>
      <c r="AO116" s="636"/>
      <c r="AP116" s="634"/>
      <c r="AQ116" s="637"/>
      <c r="AR116" s="637"/>
    </row>
    <row r="117" spans="1:44" ht="15.9" hidden="1" customHeight="1">
      <c r="A117" s="582"/>
      <c r="B117" s="1655"/>
      <c r="C117" s="1656"/>
      <c r="D117" s="1657"/>
      <c r="E117" s="1658"/>
      <c r="F117" s="638" t="s">
        <v>1234</v>
      </c>
      <c r="G117" s="639" t="str">
        <f t="shared" ref="G117:AK117" si="54">IF(G116&lt;&gt;"",VLOOKUP(G116,$AC$197:$AL$221,9,FALSE),"")</f>
        <v/>
      </c>
      <c r="H117" s="640" t="str">
        <f t="shared" si="54"/>
        <v/>
      </c>
      <c r="I117" s="640" t="str">
        <f t="shared" si="54"/>
        <v/>
      </c>
      <c r="J117" s="640" t="str">
        <f t="shared" si="54"/>
        <v/>
      </c>
      <c r="K117" s="640" t="str">
        <f t="shared" si="54"/>
        <v/>
      </c>
      <c r="L117" s="640" t="str">
        <f t="shared" si="54"/>
        <v/>
      </c>
      <c r="M117" s="641" t="str">
        <f t="shared" si="54"/>
        <v/>
      </c>
      <c r="N117" s="639" t="str">
        <f t="shared" si="54"/>
        <v/>
      </c>
      <c r="O117" s="640" t="str">
        <f t="shared" si="54"/>
        <v/>
      </c>
      <c r="P117" s="640" t="str">
        <f t="shared" si="54"/>
        <v/>
      </c>
      <c r="Q117" s="640" t="str">
        <f t="shared" si="54"/>
        <v/>
      </c>
      <c r="R117" s="640" t="str">
        <f t="shared" si="54"/>
        <v/>
      </c>
      <c r="S117" s="640" t="str">
        <f t="shared" si="54"/>
        <v/>
      </c>
      <c r="T117" s="641" t="str">
        <f t="shared" si="54"/>
        <v/>
      </c>
      <c r="U117" s="639" t="str">
        <f t="shared" si="54"/>
        <v/>
      </c>
      <c r="V117" s="640" t="str">
        <f t="shared" si="54"/>
        <v/>
      </c>
      <c r="W117" s="640" t="str">
        <f t="shared" si="54"/>
        <v/>
      </c>
      <c r="X117" s="640" t="str">
        <f t="shared" si="54"/>
        <v/>
      </c>
      <c r="Y117" s="640" t="str">
        <f t="shared" si="54"/>
        <v/>
      </c>
      <c r="Z117" s="640" t="str">
        <f t="shared" si="54"/>
        <v/>
      </c>
      <c r="AA117" s="641" t="str">
        <f t="shared" si="54"/>
        <v/>
      </c>
      <c r="AB117" s="639" t="str">
        <f t="shared" si="54"/>
        <v/>
      </c>
      <c r="AC117" s="640" t="str">
        <f t="shared" si="54"/>
        <v/>
      </c>
      <c r="AD117" s="640" t="str">
        <f t="shared" si="54"/>
        <v/>
      </c>
      <c r="AE117" s="640" t="str">
        <f t="shared" si="54"/>
        <v/>
      </c>
      <c r="AF117" s="640" t="str">
        <f t="shared" si="54"/>
        <v/>
      </c>
      <c r="AG117" s="640" t="str">
        <f t="shared" si="54"/>
        <v/>
      </c>
      <c r="AH117" s="641" t="str">
        <f t="shared" si="54"/>
        <v/>
      </c>
      <c r="AI117" s="642" t="str">
        <f t="shared" si="54"/>
        <v/>
      </c>
      <c r="AJ117" s="640" t="str">
        <f t="shared" si="54"/>
        <v/>
      </c>
      <c r="AK117" s="640" t="str">
        <f t="shared" si="54"/>
        <v/>
      </c>
      <c r="AL117" s="643">
        <f>SUM(G117:AH117)</f>
        <v>0</v>
      </c>
      <c r="AM117" s="644">
        <f>AL117/4</f>
        <v>0</v>
      </c>
      <c r="AN117" s="645" t="str">
        <f>IF(C116="","",C116)</f>
        <v/>
      </c>
      <c r="AO117" s="646" t="str">
        <f>IF(D116="","",D116)</f>
        <v/>
      </c>
      <c r="AP117" s="647" t="str">
        <f>IF(D116&lt;&gt;"",VLOOKUP(D116,$AU$2:$AV$6,2,FALSE),"")</f>
        <v/>
      </c>
      <c r="AQ117" s="644">
        <f>ROUNDDOWN(AL117/$AL$6,2)</f>
        <v>0</v>
      </c>
      <c r="AR117" s="644">
        <f>IF(AP117=1,"",AQ117)</f>
        <v>0</v>
      </c>
    </row>
    <row r="118" spans="1:44" ht="15.9" hidden="1" customHeight="1">
      <c r="A118" s="582"/>
      <c r="B118" s="1655" t="s">
        <v>1288</v>
      </c>
      <c r="C118" s="1640"/>
      <c r="D118" s="1642"/>
      <c r="E118" s="1644"/>
      <c r="F118" s="627" t="s">
        <v>1233</v>
      </c>
      <c r="G118" s="628"/>
      <c r="H118" s="629"/>
      <c r="I118" s="630"/>
      <c r="J118" s="630"/>
      <c r="K118" s="630"/>
      <c r="L118" s="630"/>
      <c r="M118" s="631"/>
      <c r="N118" s="628"/>
      <c r="O118" s="629"/>
      <c r="P118" s="630"/>
      <c r="Q118" s="630"/>
      <c r="R118" s="630"/>
      <c r="S118" s="630"/>
      <c r="T118" s="631"/>
      <c r="U118" s="628"/>
      <c r="V118" s="629"/>
      <c r="W118" s="630"/>
      <c r="X118" s="630"/>
      <c r="Y118" s="630"/>
      <c r="Z118" s="630"/>
      <c r="AA118" s="631"/>
      <c r="AB118" s="628"/>
      <c r="AC118" s="629"/>
      <c r="AD118" s="630"/>
      <c r="AE118" s="630"/>
      <c r="AF118" s="630"/>
      <c r="AG118" s="630"/>
      <c r="AH118" s="631"/>
      <c r="AI118" s="648"/>
      <c r="AJ118" s="629"/>
      <c r="AK118" s="629"/>
      <c r="AL118" s="633">
        <f>SUM(G119:AK119)</f>
        <v>0</v>
      </c>
      <c r="AM118" s="634"/>
      <c r="AN118" s="635"/>
      <c r="AO118" s="636"/>
      <c r="AP118" s="634"/>
      <c r="AQ118" s="637"/>
      <c r="AR118" s="637"/>
    </row>
    <row r="119" spans="1:44" ht="15.9" hidden="1" customHeight="1">
      <c r="A119" s="582"/>
      <c r="B119" s="1655"/>
      <c r="C119" s="1656"/>
      <c r="D119" s="1657"/>
      <c r="E119" s="1658"/>
      <c r="F119" s="638" t="s">
        <v>1234</v>
      </c>
      <c r="G119" s="639" t="str">
        <f t="shared" ref="G119:AK119" si="55">IF(G118&lt;&gt;"",VLOOKUP(G118,$AC$197:$AL$221,9,FALSE),"")</f>
        <v/>
      </c>
      <c r="H119" s="640" t="str">
        <f t="shared" si="55"/>
        <v/>
      </c>
      <c r="I119" s="640" t="str">
        <f t="shared" si="55"/>
        <v/>
      </c>
      <c r="J119" s="640" t="str">
        <f t="shared" si="55"/>
        <v/>
      </c>
      <c r="K119" s="640" t="str">
        <f t="shared" si="55"/>
        <v/>
      </c>
      <c r="L119" s="640" t="str">
        <f t="shared" si="55"/>
        <v/>
      </c>
      <c r="M119" s="641" t="str">
        <f t="shared" si="55"/>
        <v/>
      </c>
      <c r="N119" s="639" t="str">
        <f t="shared" si="55"/>
        <v/>
      </c>
      <c r="O119" s="640" t="str">
        <f t="shared" si="55"/>
        <v/>
      </c>
      <c r="P119" s="640" t="str">
        <f t="shared" si="55"/>
        <v/>
      </c>
      <c r="Q119" s="640" t="str">
        <f t="shared" si="55"/>
        <v/>
      </c>
      <c r="R119" s="640" t="str">
        <f t="shared" si="55"/>
        <v/>
      </c>
      <c r="S119" s="640" t="str">
        <f t="shared" si="55"/>
        <v/>
      </c>
      <c r="T119" s="641" t="str">
        <f t="shared" si="55"/>
        <v/>
      </c>
      <c r="U119" s="639" t="str">
        <f t="shared" si="55"/>
        <v/>
      </c>
      <c r="V119" s="640" t="str">
        <f t="shared" si="55"/>
        <v/>
      </c>
      <c r="W119" s="640" t="str">
        <f t="shared" si="55"/>
        <v/>
      </c>
      <c r="X119" s="640" t="str">
        <f t="shared" si="55"/>
        <v/>
      </c>
      <c r="Y119" s="640" t="str">
        <f t="shared" si="55"/>
        <v/>
      </c>
      <c r="Z119" s="640" t="str">
        <f t="shared" si="55"/>
        <v/>
      </c>
      <c r="AA119" s="641" t="str">
        <f t="shared" si="55"/>
        <v/>
      </c>
      <c r="AB119" s="639" t="str">
        <f t="shared" si="55"/>
        <v/>
      </c>
      <c r="AC119" s="640" t="str">
        <f t="shared" si="55"/>
        <v/>
      </c>
      <c r="AD119" s="640" t="str">
        <f t="shared" si="55"/>
        <v/>
      </c>
      <c r="AE119" s="640" t="str">
        <f t="shared" si="55"/>
        <v/>
      </c>
      <c r="AF119" s="640" t="str">
        <f t="shared" si="55"/>
        <v/>
      </c>
      <c r="AG119" s="640" t="str">
        <f t="shared" si="55"/>
        <v/>
      </c>
      <c r="AH119" s="641" t="str">
        <f t="shared" si="55"/>
        <v/>
      </c>
      <c r="AI119" s="642" t="str">
        <f t="shared" si="55"/>
        <v/>
      </c>
      <c r="AJ119" s="640" t="str">
        <f t="shared" si="55"/>
        <v/>
      </c>
      <c r="AK119" s="640" t="str">
        <f t="shared" si="55"/>
        <v/>
      </c>
      <c r="AL119" s="643">
        <f>SUM(G119:AH119)</f>
        <v>0</v>
      </c>
      <c r="AM119" s="644">
        <f>AL119/4</f>
        <v>0</v>
      </c>
      <c r="AN119" s="645" t="str">
        <f>IF(C118="","",C118)</f>
        <v/>
      </c>
      <c r="AO119" s="646" t="str">
        <f>IF(D118="","",D118)</f>
        <v/>
      </c>
      <c r="AP119" s="647" t="str">
        <f>IF(D118&lt;&gt;"",VLOOKUP(D118,$AU$2:$AV$6,2,FALSE),"")</f>
        <v/>
      </c>
      <c r="AQ119" s="644">
        <f>ROUNDDOWN(AL119/$AL$6,2)</f>
        <v>0</v>
      </c>
      <c r="AR119" s="644">
        <f>IF(AP119=1,"",AQ119)</f>
        <v>0</v>
      </c>
    </row>
    <row r="120" spans="1:44" ht="15.9" hidden="1" customHeight="1">
      <c r="A120" s="582"/>
      <c r="B120" s="1655" t="s">
        <v>1289</v>
      </c>
      <c r="C120" s="1640"/>
      <c r="D120" s="1642"/>
      <c r="E120" s="1644"/>
      <c r="F120" s="627" t="s">
        <v>1233</v>
      </c>
      <c r="G120" s="628"/>
      <c r="H120" s="629"/>
      <c r="I120" s="630"/>
      <c r="J120" s="630"/>
      <c r="K120" s="630"/>
      <c r="L120" s="630"/>
      <c r="M120" s="631"/>
      <c r="N120" s="628"/>
      <c r="O120" s="629"/>
      <c r="P120" s="630"/>
      <c r="Q120" s="630"/>
      <c r="R120" s="630"/>
      <c r="S120" s="630"/>
      <c r="T120" s="631"/>
      <c r="U120" s="628"/>
      <c r="V120" s="629"/>
      <c r="W120" s="630"/>
      <c r="X120" s="630"/>
      <c r="Y120" s="630"/>
      <c r="Z120" s="630"/>
      <c r="AA120" s="631"/>
      <c r="AB120" s="628"/>
      <c r="AC120" s="629"/>
      <c r="AD120" s="630"/>
      <c r="AE120" s="630"/>
      <c r="AF120" s="630"/>
      <c r="AG120" s="630"/>
      <c r="AH120" s="631"/>
      <c r="AI120" s="648"/>
      <c r="AJ120" s="629"/>
      <c r="AK120" s="629"/>
      <c r="AL120" s="633">
        <f>SUM(G121:AK121)</f>
        <v>0</v>
      </c>
      <c r="AM120" s="634"/>
      <c r="AN120" s="635"/>
      <c r="AO120" s="636"/>
      <c r="AP120" s="634"/>
      <c r="AQ120" s="637"/>
      <c r="AR120" s="637"/>
    </row>
    <row r="121" spans="1:44" ht="15.9" hidden="1" customHeight="1">
      <c r="A121" s="582"/>
      <c r="B121" s="1655"/>
      <c r="C121" s="1656"/>
      <c r="D121" s="1657"/>
      <c r="E121" s="1658"/>
      <c r="F121" s="638" t="s">
        <v>1234</v>
      </c>
      <c r="G121" s="639" t="str">
        <f t="shared" ref="G121:AK121" si="56">IF(G120&lt;&gt;"",VLOOKUP(G120,$AC$197:$AL$221,9,FALSE),"")</f>
        <v/>
      </c>
      <c r="H121" s="640" t="str">
        <f t="shared" si="56"/>
        <v/>
      </c>
      <c r="I121" s="640" t="str">
        <f t="shared" si="56"/>
        <v/>
      </c>
      <c r="J121" s="640" t="str">
        <f t="shared" si="56"/>
        <v/>
      </c>
      <c r="K121" s="640" t="str">
        <f t="shared" si="56"/>
        <v/>
      </c>
      <c r="L121" s="640" t="str">
        <f t="shared" si="56"/>
        <v/>
      </c>
      <c r="M121" s="641" t="str">
        <f t="shared" si="56"/>
        <v/>
      </c>
      <c r="N121" s="639" t="str">
        <f t="shared" si="56"/>
        <v/>
      </c>
      <c r="O121" s="640" t="str">
        <f t="shared" si="56"/>
        <v/>
      </c>
      <c r="P121" s="640" t="str">
        <f t="shared" si="56"/>
        <v/>
      </c>
      <c r="Q121" s="640" t="str">
        <f t="shared" si="56"/>
        <v/>
      </c>
      <c r="R121" s="640" t="str">
        <f t="shared" si="56"/>
        <v/>
      </c>
      <c r="S121" s="640" t="str">
        <f t="shared" si="56"/>
        <v/>
      </c>
      <c r="T121" s="641" t="str">
        <f t="shared" si="56"/>
        <v/>
      </c>
      <c r="U121" s="639" t="str">
        <f t="shared" si="56"/>
        <v/>
      </c>
      <c r="V121" s="640" t="str">
        <f t="shared" si="56"/>
        <v/>
      </c>
      <c r="W121" s="640" t="str">
        <f t="shared" si="56"/>
        <v/>
      </c>
      <c r="X121" s="640" t="str">
        <f t="shared" si="56"/>
        <v/>
      </c>
      <c r="Y121" s="640" t="str">
        <f t="shared" si="56"/>
        <v/>
      </c>
      <c r="Z121" s="640" t="str">
        <f t="shared" si="56"/>
        <v/>
      </c>
      <c r="AA121" s="641" t="str">
        <f t="shared" si="56"/>
        <v/>
      </c>
      <c r="AB121" s="639" t="str">
        <f t="shared" si="56"/>
        <v/>
      </c>
      <c r="AC121" s="640" t="str">
        <f t="shared" si="56"/>
        <v/>
      </c>
      <c r="AD121" s="640" t="str">
        <f t="shared" si="56"/>
        <v/>
      </c>
      <c r="AE121" s="640" t="str">
        <f t="shared" si="56"/>
        <v/>
      </c>
      <c r="AF121" s="640" t="str">
        <f t="shared" si="56"/>
        <v/>
      </c>
      <c r="AG121" s="640" t="str">
        <f t="shared" si="56"/>
        <v/>
      </c>
      <c r="AH121" s="641" t="str">
        <f t="shared" si="56"/>
        <v/>
      </c>
      <c r="AI121" s="642" t="str">
        <f t="shared" si="56"/>
        <v/>
      </c>
      <c r="AJ121" s="640" t="str">
        <f t="shared" si="56"/>
        <v/>
      </c>
      <c r="AK121" s="640" t="str">
        <f t="shared" si="56"/>
        <v/>
      </c>
      <c r="AL121" s="643">
        <f>SUM(G121:AH121)</f>
        <v>0</v>
      </c>
      <c r="AM121" s="644">
        <f>AL121/4</f>
        <v>0</v>
      </c>
      <c r="AN121" s="645" t="str">
        <f>IF(C120="","",C120)</f>
        <v/>
      </c>
      <c r="AO121" s="646" t="str">
        <f>IF(D120="","",D120)</f>
        <v/>
      </c>
      <c r="AP121" s="647" t="str">
        <f>IF(D120&lt;&gt;"",VLOOKUP(D120,$AU$2:$AV$6,2,FALSE),"")</f>
        <v/>
      </c>
      <c r="AQ121" s="644">
        <f>ROUNDDOWN(AL121/$AL$6,2)</f>
        <v>0</v>
      </c>
      <c r="AR121" s="644">
        <f>IF(AP121=1,"",AQ121)</f>
        <v>0</v>
      </c>
    </row>
    <row r="122" spans="1:44" ht="15.9" hidden="1" customHeight="1">
      <c r="A122" s="582"/>
      <c r="B122" s="1655" t="s">
        <v>1290</v>
      </c>
      <c r="C122" s="1640"/>
      <c r="D122" s="1642"/>
      <c r="E122" s="1644"/>
      <c r="F122" s="627" t="s">
        <v>1233</v>
      </c>
      <c r="G122" s="628"/>
      <c r="H122" s="629"/>
      <c r="I122" s="630"/>
      <c r="J122" s="630"/>
      <c r="K122" s="630"/>
      <c r="L122" s="630"/>
      <c r="M122" s="631"/>
      <c r="N122" s="628"/>
      <c r="O122" s="629"/>
      <c r="P122" s="630"/>
      <c r="Q122" s="630"/>
      <c r="R122" s="630"/>
      <c r="S122" s="630"/>
      <c r="T122" s="631"/>
      <c r="U122" s="628"/>
      <c r="V122" s="629"/>
      <c r="W122" s="630"/>
      <c r="X122" s="630"/>
      <c r="Y122" s="630"/>
      <c r="Z122" s="630"/>
      <c r="AA122" s="631"/>
      <c r="AB122" s="628"/>
      <c r="AC122" s="629"/>
      <c r="AD122" s="630"/>
      <c r="AE122" s="630"/>
      <c r="AF122" s="630"/>
      <c r="AG122" s="630"/>
      <c r="AH122" s="631"/>
      <c r="AI122" s="648"/>
      <c r="AJ122" s="629"/>
      <c r="AK122" s="629"/>
      <c r="AL122" s="633">
        <f>SUM(G123:AK123)</f>
        <v>0</v>
      </c>
      <c r="AM122" s="634"/>
      <c r="AN122" s="635"/>
      <c r="AO122" s="636"/>
      <c r="AP122" s="634"/>
      <c r="AQ122" s="637"/>
      <c r="AR122" s="637"/>
    </row>
    <row r="123" spans="1:44" ht="15.9" hidden="1" customHeight="1">
      <c r="A123" s="582"/>
      <c r="B123" s="1655"/>
      <c r="C123" s="1656"/>
      <c r="D123" s="1657"/>
      <c r="E123" s="1658"/>
      <c r="F123" s="638" t="s">
        <v>1234</v>
      </c>
      <c r="G123" s="639" t="str">
        <f t="shared" ref="G123:AK123" si="57">IF(G122&lt;&gt;"",VLOOKUP(G122,$AC$197:$AL$221,9,FALSE),"")</f>
        <v/>
      </c>
      <c r="H123" s="640" t="str">
        <f t="shared" si="57"/>
        <v/>
      </c>
      <c r="I123" s="640" t="str">
        <f t="shared" si="57"/>
        <v/>
      </c>
      <c r="J123" s="640" t="str">
        <f t="shared" si="57"/>
        <v/>
      </c>
      <c r="K123" s="640" t="str">
        <f t="shared" si="57"/>
        <v/>
      </c>
      <c r="L123" s="640" t="str">
        <f t="shared" si="57"/>
        <v/>
      </c>
      <c r="M123" s="641" t="str">
        <f t="shared" si="57"/>
        <v/>
      </c>
      <c r="N123" s="639" t="str">
        <f t="shared" si="57"/>
        <v/>
      </c>
      <c r="O123" s="640" t="str">
        <f t="shared" si="57"/>
        <v/>
      </c>
      <c r="P123" s="640" t="str">
        <f t="shared" si="57"/>
        <v/>
      </c>
      <c r="Q123" s="640" t="str">
        <f t="shared" si="57"/>
        <v/>
      </c>
      <c r="R123" s="640" t="str">
        <f t="shared" si="57"/>
        <v/>
      </c>
      <c r="S123" s="640" t="str">
        <f t="shared" si="57"/>
        <v/>
      </c>
      <c r="T123" s="641" t="str">
        <f t="shared" si="57"/>
        <v/>
      </c>
      <c r="U123" s="639" t="str">
        <f t="shared" si="57"/>
        <v/>
      </c>
      <c r="V123" s="640" t="str">
        <f t="shared" si="57"/>
        <v/>
      </c>
      <c r="W123" s="640" t="str">
        <f t="shared" si="57"/>
        <v/>
      </c>
      <c r="X123" s="640" t="str">
        <f t="shared" si="57"/>
        <v/>
      </c>
      <c r="Y123" s="640" t="str">
        <f t="shared" si="57"/>
        <v/>
      </c>
      <c r="Z123" s="640" t="str">
        <f t="shared" si="57"/>
        <v/>
      </c>
      <c r="AA123" s="641" t="str">
        <f t="shared" si="57"/>
        <v/>
      </c>
      <c r="AB123" s="639" t="str">
        <f t="shared" si="57"/>
        <v/>
      </c>
      <c r="AC123" s="640" t="str">
        <f t="shared" si="57"/>
        <v/>
      </c>
      <c r="AD123" s="640" t="str">
        <f t="shared" si="57"/>
        <v/>
      </c>
      <c r="AE123" s="640" t="str">
        <f t="shared" si="57"/>
        <v/>
      </c>
      <c r="AF123" s="640" t="str">
        <f t="shared" si="57"/>
        <v/>
      </c>
      <c r="AG123" s="640" t="str">
        <f t="shared" si="57"/>
        <v/>
      </c>
      <c r="AH123" s="641" t="str">
        <f t="shared" si="57"/>
        <v/>
      </c>
      <c r="AI123" s="642" t="str">
        <f t="shared" si="57"/>
        <v/>
      </c>
      <c r="AJ123" s="640" t="str">
        <f t="shared" si="57"/>
        <v/>
      </c>
      <c r="AK123" s="640" t="str">
        <f t="shared" si="57"/>
        <v/>
      </c>
      <c r="AL123" s="643">
        <f>SUM(G123:AH123)</f>
        <v>0</v>
      </c>
      <c r="AM123" s="644">
        <f>AL123/4</f>
        <v>0</v>
      </c>
      <c r="AN123" s="645" t="str">
        <f>IF(C122="","",C122)</f>
        <v/>
      </c>
      <c r="AO123" s="646" t="str">
        <f>IF(D122="","",D122)</f>
        <v/>
      </c>
      <c r="AP123" s="647" t="str">
        <f>IF(D122&lt;&gt;"",VLOOKUP(D122,$AU$2:$AV$6,2,FALSE),"")</f>
        <v/>
      </c>
      <c r="AQ123" s="644">
        <f>ROUNDDOWN(AL123/$AL$6,2)</f>
        <v>0</v>
      </c>
      <c r="AR123" s="644">
        <f>IF(AP123=1,"",AQ123)</f>
        <v>0</v>
      </c>
    </row>
    <row r="124" spans="1:44" ht="15.9" hidden="1" customHeight="1">
      <c r="A124" s="582"/>
      <c r="B124" s="1655" t="s">
        <v>1291</v>
      </c>
      <c r="C124" s="1640"/>
      <c r="D124" s="1642"/>
      <c r="E124" s="1644"/>
      <c r="F124" s="627" t="s">
        <v>1233</v>
      </c>
      <c r="G124" s="628"/>
      <c r="H124" s="629"/>
      <c r="I124" s="630"/>
      <c r="J124" s="630"/>
      <c r="K124" s="630"/>
      <c r="L124" s="630"/>
      <c r="M124" s="631"/>
      <c r="N124" s="628"/>
      <c r="O124" s="629"/>
      <c r="P124" s="630"/>
      <c r="Q124" s="630"/>
      <c r="R124" s="630"/>
      <c r="S124" s="630"/>
      <c r="T124" s="631"/>
      <c r="U124" s="628"/>
      <c r="V124" s="629"/>
      <c r="W124" s="630"/>
      <c r="X124" s="630"/>
      <c r="Y124" s="630"/>
      <c r="Z124" s="630"/>
      <c r="AA124" s="631"/>
      <c r="AB124" s="628"/>
      <c r="AC124" s="629"/>
      <c r="AD124" s="630"/>
      <c r="AE124" s="630"/>
      <c r="AF124" s="630"/>
      <c r="AG124" s="630"/>
      <c r="AH124" s="631"/>
      <c r="AI124" s="648"/>
      <c r="AJ124" s="629"/>
      <c r="AK124" s="629"/>
      <c r="AL124" s="633">
        <f>SUM(G125:AK125)</f>
        <v>0</v>
      </c>
      <c r="AM124" s="634"/>
      <c r="AN124" s="635"/>
      <c r="AO124" s="636"/>
      <c r="AP124" s="634"/>
      <c r="AQ124" s="637"/>
      <c r="AR124" s="637"/>
    </row>
    <row r="125" spans="1:44" ht="15.9" hidden="1" customHeight="1">
      <c r="A125" s="582"/>
      <c r="B125" s="1655"/>
      <c r="C125" s="1656"/>
      <c r="D125" s="1657"/>
      <c r="E125" s="1658"/>
      <c r="F125" s="638" t="s">
        <v>1234</v>
      </c>
      <c r="G125" s="639" t="str">
        <f t="shared" ref="G125:AK125" si="58">IF(G124&lt;&gt;"",VLOOKUP(G124,$AC$197:$AL$221,9,FALSE),"")</f>
        <v/>
      </c>
      <c r="H125" s="640" t="str">
        <f t="shared" si="58"/>
        <v/>
      </c>
      <c r="I125" s="640" t="str">
        <f t="shared" si="58"/>
        <v/>
      </c>
      <c r="J125" s="640" t="str">
        <f t="shared" si="58"/>
        <v/>
      </c>
      <c r="K125" s="640" t="str">
        <f t="shared" si="58"/>
        <v/>
      </c>
      <c r="L125" s="640" t="str">
        <f t="shared" si="58"/>
        <v/>
      </c>
      <c r="M125" s="641" t="str">
        <f t="shared" si="58"/>
        <v/>
      </c>
      <c r="N125" s="639" t="str">
        <f t="shared" si="58"/>
        <v/>
      </c>
      <c r="O125" s="640" t="str">
        <f t="shared" si="58"/>
        <v/>
      </c>
      <c r="P125" s="640" t="str">
        <f t="shared" si="58"/>
        <v/>
      </c>
      <c r="Q125" s="640" t="str">
        <f t="shared" si="58"/>
        <v/>
      </c>
      <c r="R125" s="640" t="str">
        <f t="shared" si="58"/>
        <v/>
      </c>
      <c r="S125" s="640" t="str">
        <f t="shared" si="58"/>
        <v/>
      </c>
      <c r="T125" s="641" t="str">
        <f t="shared" si="58"/>
        <v/>
      </c>
      <c r="U125" s="639" t="str">
        <f t="shared" si="58"/>
        <v/>
      </c>
      <c r="V125" s="640" t="str">
        <f t="shared" si="58"/>
        <v/>
      </c>
      <c r="W125" s="640" t="str">
        <f t="shared" si="58"/>
        <v/>
      </c>
      <c r="X125" s="640" t="str">
        <f t="shared" si="58"/>
        <v/>
      </c>
      <c r="Y125" s="640" t="str">
        <f t="shared" si="58"/>
        <v/>
      </c>
      <c r="Z125" s="640" t="str">
        <f t="shared" si="58"/>
        <v/>
      </c>
      <c r="AA125" s="641" t="str">
        <f t="shared" si="58"/>
        <v/>
      </c>
      <c r="AB125" s="639" t="str">
        <f t="shared" si="58"/>
        <v/>
      </c>
      <c r="AC125" s="640" t="str">
        <f t="shared" si="58"/>
        <v/>
      </c>
      <c r="AD125" s="640" t="str">
        <f t="shared" si="58"/>
        <v/>
      </c>
      <c r="AE125" s="640" t="str">
        <f t="shared" si="58"/>
        <v/>
      </c>
      <c r="AF125" s="640" t="str">
        <f t="shared" si="58"/>
        <v/>
      </c>
      <c r="AG125" s="640" t="str">
        <f t="shared" si="58"/>
        <v/>
      </c>
      <c r="AH125" s="641" t="str">
        <f t="shared" si="58"/>
        <v/>
      </c>
      <c r="AI125" s="642" t="str">
        <f t="shared" si="58"/>
        <v/>
      </c>
      <c r="AJ125" s="640" t="str">
        <f t="shared" si="58"/>
        <v/>
      </c>
      <c r="AK125" s="640" t="str">
        <f t="shared" si="58"/>
        <v/>
      </c>
      <c r="AL125" s="643">
        <f>SUM(G125:AH125)</f>
        <v>0</v>
      </c>
      <c r="AM125" s="644">
        <f>AL125/4</f>
        <v>0</v>
      </c>
      <c r="AN125" s="645" t="str">
        <f>IF(C124="","",C124)</f>
        <v/>
      </c>
      <c r="AO125" s="646" t="str">
        <f>IF(D124="","",D124)</f>
        <v/>
      </c>
      <c r="AP125" s="647" t="str">
        <f>IF(D124&lt;&gt;"",VLOOKUP(D124,$AU$2:$AV$6,2,FALSE),"")</f>
        <v/>
      </c>
      <c r="AQ125" s="644">
        <f>ROUNDDOWN(AL125/$AL$6,2)</f>
        <v>0</v>
      </c>
      <c r="AR125" s="644">
        <f>IF(AP125=1,"",AQ125)</f>
        <v>0</v>
      </c>
    </row>
    <row r="126" spans="1:44" ht="15.9" hidden="1" customHeight="1">
      <c r="A126" s="582"/>
      <c r="B126" s="1655" t="s">
        <v>1292</v>
      </c>
      <c r="C126" s="1640"/>
      <c r="D126" s="1642"/>
      <c r="E126" s="1644"/>
      <c r="F126" s="627" t="s">
        <v>1233</v>
      </c>
      <c r="G126" s="628"/>
      <c r="H126" s="629"/>
      <c r="I126" s="630"/>
      <c r="J126" s="630"/>
      <c r="K126" s="630"/>
      <c r="L126" s="630"/>
      <c r="M126" s="631"/>
      <c r="N126" s="628"/>
      <c r="O126" s="629"/>
      <c r="P126" s="630"/>
      <c r="Q126" s="630"/>
      <c r="R126" s="630"/>
      <c r="S126" s="630"/>
      <c r="T126" s="631"/>
      <c r="U126" s="628"/>
      <c r="V126" s="629"/>
      <c r="W126" s="630"/>
      <c r="X126" s="630"/>
      <c r="Y126" s="630"/>
      <c r="Z126" s="630"/>
      <c r="AA126" s="631"/>
      <c r="AB126" s="628"/>
      <c r="AC126" s="629"/>
      <c r="AD126" s="630"/>
      <c r="AE126" s="630"/>
      <c r="AF126" s="630"/>
      <c r="AG126" s="630"/>
      <c r="AH126" s="631"/>
      <c r="AI126" s="648"/>
      <c r="AJ126" s="629"/>
      <c r="AK126" s="629"/>
      <c r="AL126" s="633">
        <f>SUM(G127:AK127)</f>
        <v>0</v>
      </c>
      <c r="AM126" s="634"/>
      <c r="AN126" s="635"/>
      <c r="AO126" s="636"/>
      <c r="AP126" s="634"/>
      <c r="AQ126" s="637"/>
      <c r="AR126" s="637"/>
    </row>
    <row r="127" spans="1:44" ht="15.9" hidden="1" customHeight="1">
      <c r="A127" s="582"/>
      <c r="B127" s="1655"/>
      <c r="C127" s="1656"/>
      <c r="D127" s="1657"/>
      <c r="E127" s="1658"/>
      <c r="F127" s="638" t="s">
        <v>1234</v>
      </c>
      <c r="G127" s="639" t="str">
        <f t="shared" ref="G127:AK127" si="59">IF(G126&lt;&gt;"",VLOOKUP(G126,$AC$197:$AL$221,9,FALSE),"")</f>
        <v/>
      </c>
      <c r="H127" s="640" t="str">
        <f t="shared" si="59"/>
        <v/>
      </c>
      <c r="I127" s="640" t="str">
        <f t="shared" si="59"/>
        <v/>
      </c>
      <c r="J127" s="640" t="str">
        <f t="shared" si="59"/>
        <v/>
      </c>
      <c r="K127" s="640" t="str">
        <f t="shared" si="59"/>
        <v/>
      </c>
      <c r="L127" s="640" t="str">
        <f t="shared" si="59"/>
        <v/>
      </c>
      <c r="M127" s="641" t="str">
        <f t="shared" si="59"/>
        <v/>
      </c>
      <c r="N127" s="639" t="str">
        <f t="shared" si="59"/>
        <v/>
      </c>
      <c r="O127" s="640" t="str">
        <f t="shared" si="59"/>
        <v/>
      </c>
      <c r="P127" s="640" t="str">
        <f t="shared" si="59"/>
        <v/>
      </c>
      <c r="Q127" s="640" t="str">
        <f t="shared" si="59"/>
        <v/>
      </c>
      <c r="R127" s="640" t="str">
        <f t="shared" si="59"/>
        <v/>
      </c>
      <c r="S127" s="640" t="str">
        <f t="shared" si="59"/>
        <v/>
      </c>
      <c r="T127" s="641" t="str">
        <f t="shared" si="59"/>
        <v/>
      </c>
      <c r="U127" s="639" t="str">
        <f t="shared" si="59"/>
        <v/>
      </c>
      <c r="V127" s="640" t="str">
        <f t="shared" si="59"/>
        <v/>
      </c>
      <c r="W127" s="640" t="str">
        <f t="shared" si="59"/>
        <v/>
      </c>
      <c r="X127" s="640" t="str">
        <f t="shared" si="59"/>
        <v/>
      </c>
      <c r="Y127" s="640" t="str">
        <f t="shared" si="59"/>
        <v/>
      </c>
      <c r="Z127" s="640" t="str">
        <f t="shared" si="59"/>
        <v/>
      </c>
      <c r="AA127" s="641" t="str">
        <f t="shared" si="59"/>
        <v/>
      </c>
      <c r="AB127" s="639" t="str">
        <f t="shared" si="59"/>
        <v/>
      </c>
      <c r="AC127" s="640" t="str">
        <f t="shared" si="59"/>
        <v/>
      </c>
      <c r="AD127" s="640" t="str">
        <f t="shared" si="59"/>
        <v/>
      </c>
      <c r="AE127" s="640" t="str">
        <f t="shared" si="59"/>
        <v/>
      </c>
      <c r="AF127" s="640" t="str">
        <f t="shared" si="59"/>
        <v/>
      </c>
      <c r="AG127" s="640" t="str">
        <f t="shared" si="59"/>
        <v/>
      </c>
      <c r="AH127" s="641" t="str">
        <f t="shared" si="59"/>
        <v/>
      </c>
      <c r="AI127" s="642" t="str">
        <f t="shared" si="59"/>
        <v/>
      </c>
      <c r="AJ127" s="640" t="str">
        <f t="shared" si="59"/>
        <v/>
      </c>
      <c r="AK127" s="640" t="str">
        <f t="shared" si="59"/>
        <v/>
      </c>
      <c r="AL127" s="643">
        <f>SUM(G127:AH127)</f>
        <v>0</v>
      </c>
      <c r="AM127" s="644">
        <f>AL127/4</f>
        <v>0</v>
      </c>
      <c r="AN127" s="645" t="str">
        <f>IF(C126="","",C126)</f>
        <v/>
      </c>
      <c r="AO127" s="646" t="str">
        <f>IF(D126="","",D126)</f>
        <v/>
      </c>
      <c r="AP127" s="647" t="str">
        <f>IF(D126&lt;&gt;"",VLOOKUP(D126,$AU$2:$AV$6,2,FALSE),"")</f>
        <v/>
      </c>
      <c r="AQ127" s="644">
        <f>ROUNDDOWN(AL127/$AL$6,2)</f>
        <v>0</v>
      </c>
      <c r="AR127" s="644">
        <f>IF(AP127=1,"",AQ127)</f>
        <v>0</v>
      </c>
    </row>
    <row r="128" spans="1:44" ht="15.9" hidden="1" customHeight="1">
      <c r="A128" s="582"/>
      <c r="B128" s="1655" t="s">
        <v>1293</v>
      </c>
      <c r="C128" s="1640"/>
      <c r="D128" s="1642"/>
      <c r="E128" s="1644"/>
      <c r="F128" s="627" t="s">
        <v>1233</v>
      </c>
      <c r="G128" s="628"/>
      <c r="H128" s="629"/>
      <c r="I128" s="630"/>
      <c r="J128" s="630"/>
      <c r="K128" s="630"/>
      <c r="L128" s="630"/>
      <c r="M128" s="631"/>
      <c r="N128" s="628"/>
      <c r="O128" s="629"/>
      <c r="P128" s="630"/>
      <c r="Q128" s="630"/>
      <c r="R128" s="630"/>
      <c r="S128" s="630"/>
      <c r="T128" s="631"/>
      <c r="U128" s="628"/>
      <c r="V128" s="629"/>
      <c r="W128" s="630"/>
      <c r="X128" s="630"/>
      <c r="Y128" s="630"/>
      <c r="Z128" s="630"/>
      <c r="AA128" s="631"/>
      <c r="AB128" s="628"/>
      <c r="AC128" s="629"/>
      <c r="AD128" s="630"/>
      <c r="AE128" s="630"/>
      <c r="AF128" s="630"/>
      <c r="AG128" s="630"/>
      <c r="AH128" s="631"/>
      <c r="AI128" s="648"/>
      <c r="AJ128" s="629"/>
      <c r="AK128" s="629"/>
      <c r="AL128" s="633">
        <f>SUM(G129:AK129)</f>
        <v>0</v>
      </c>
      <c r="AM128" s="634"/>
      <c r="AN128" s="635"/>
      <c r="AO128" s="636"/>
      <c r="AP128" s="634"/>
      <c r="AQ128" s="637"/>
      <c r="AR128" s="637"/>
    </row>
    <row r="129" spans="1:44" ht="15.9" hidden="1" customHeight="1">
      <c r="A129" s="582"/>
      <c r="B129" s="1655"/>
      <c r="C129" s="1656"/>
      <c r="D129" s="1657"/>
      <c r="E129" s="1658"/>
      <c r="F129" s="638" t="s">
        <v>1234</v>
      </c>
      <c r="G129" s="639" t="str">
        <f t="shared" ref="G129:AK129" si="60">IF(G128&lt;&gt;"",VLOOKUP(G128,$AC$197:$AL$221,9,FALSE),"")</f>
        <v/>
      </c>
      <c r="H129" s="640" t="str">
        <f t="shared" si="60"/>
        <v/>
      </c>
      <c r="I129" s="640" t="str">
        <f t="shared" si="60"/>
        <v/>
      </c>
      <c r="J129" s="640" t="str">
        <f t="shared" si="60"/>
        <v/>
      </c>
      <c r="K129" s="640" t="str">
        <f t="shared" si="60"/>
        <v/>
      </c>
      <c r="L129" s="640" t="str">
        <f t="shared" si="60"/>
        <v/>
      </c>
      <c r="M129" s="641" t="str">
        <f t="shared" si="60"/>
        <v/>
      </c>
      <c r="N129" s="639" t="str">
        <f t="shared" si="60"/>
        <v/>
      </c>
      <c r="O129" s="640" t="str">
        <f t="shared" si="60"/>
        <v/>
      </c>
      <c r="P129" s="640" t="str">
        <f t="shared" si="60"/>
        <v/>
      </c>
      <c r="Q129" s="640" t="str">
        <f t="shared" si="60"/>
        <v/>
      </c>
      <c r="R129" s="640" t="str">
        <f t="shared" si="60"/>
        <v/>
      </c>
      <c r="S129" s="640" t="str">
        <f t="shared" si="60"/>
        <v/>
      </c>
      <c r="T129" s="641" t="str">
        <f t="shared" si="60"/>
        <v/>
      </c>
      <c r="U129" s="639" t="str">
        <f t="shared" si="60"/>
        <v/>
      </c>
      <c r="V129" s="640" t="str">
        <f t="shared" si="60"/>
        <v/>
      </c>
      <c r="W129" s="640" t="str">
        <f t="shared" si="60"/>
        <v/>
      </c>
      <c r="X129" s="640" t="str">
        <f t="shared" si="60"/>
        <v/>
      </c>
      <c r="Y129" s="640" t="str">
        <f t="shared" si="60"/>
        <v/>
      </c>
      <c r="Z129" s="640" t="str">
        <f t="shared" si="60"/>
        <v/>
      </c>
      <c r="AA129" s="641" t="str">
        <f t="shared" si="60"/>
        <v/>
      </c>
      <c r="AB129" s="639" t="str">
        <f t="shared" si="60"/>
        <v/>
      </c>
      <c r="AC129" s="640" t="str">
        <f t="shared" si="60"/>
        <v/>
      </c>
      <c r="AD129" s="640" t="str">
        <f t="shared" si="60"/>
        <v/>
      </c>
      <c r="AE129" s="640" t="str">
        <f t="shared" si="60"/>
        <v/>
      </c>
      <c r="AF129" s="640" t="str">
        <f t="shared" si="60"/>
        <v/>
      </c>
      <c r="AG129" s="640" t="str">
        <f t="shared" si="60"/>
        <v/>
      </c>
      <c r="AH129" s="641" t="str">
        <f t="shared" si="60"/>
        <v/>
      </c>
      <c r="AI129" s="642" t="str">
        <f t="shared" si="60"/>
        <v/>
      </c>
      <c r="AJ129" s="640" t="str">
        <f t="shared" si="60"/>
        <v/>
      </c>
      <c r="AK129" s="640" t="str">
        <f t="shared" si="60"/>
        <v/>
      </c>
      <c r="AL129" s="643">
        <f>SUM(G129:AH129)</f>
        <v>0</v>
      </c>
      <c r="AM129" s="644">
        <f>AL129/4</f>
        <v>0</v>
      </c>
      <c r="AN129" s="645" t="str">
        <f>IF(C128="","",C128)</f>
        <v/>
      </c>
      <c r="AO129" s="646" t="str">
        <f>IF(D128="","",D128)</f>
        <v/>
      </c>
      <c r="AP129" s="647" t="str">
        <f>IF(D128&lt;&gt;"",VLOOKUP(D128,$AU$2:$AV$6,2,FALSE),"")</f>
        <v/>
      </c>
      <c r="AQ129" s="644">
        <f>ROUNDDOWN(AL129/$AL$6,2)</f>
        <v>0</v>
      </c>
      <c r="AR129" s="644">
        <f>IF(AP129=1,"",AQ129)</f>
        <v>0</v>
      </c>
    </row>
    <row r="130" spans="1:44" ht="15.9" hidden="1" customHeight="1">
      <c r="A130" s="582"/>
      <c r="B130" s="1655" t="s">
        <v>1294</v>
      </c>
      <c r="C130" s="1640"/>
      <c r="D130" s="1642"/>
      <c r="E130" s="1644"/>
      <c r="F130" s="627" t="s">
        <v>1233</v>
      </c>
      <c r="G130" s="628"/>
      <c r="H130" s="629"/>
      <c r="I130" s="630"/>
      <c r="J130" s="630"/>
      <c r="K130" s="630"/>
      <c r="L130" s="630"/>
      <c r="M130" s="631"/>
      <c r="N130" s="628"/>
      <c r="O130" s="629"/>
      <c r="P130" s="630"/>
      <c r="Q130" s="630"/>
      <c r="R130" s="630"/>
      <c r="S130" s="630"/>
      <c r="T130" s="631"/>
      <c r="U130" s="628"/>
      <c r="V130" s="629"/>
      <c r="W130" s="630"/>
      <c r="X130" s="630"/>
      <c r="Y130" s="630"/>
      <c r="Z130" s="630"/>
      <c r="AA130" s="631"/>
      <c r="AB130" s="628"/>
      <c r="AC130" s="629"/>
      <c r="AD130" s="630"/>
      <c r="AE130" s="630"/>
      <c r="AF130" s="630"/>
      <c r="AG130" s="630"/>
      <c r="AH130" s="631"/>
      <c r="AI130" s="648"/>
      <c r="AJ130" s="629"/>
      <c r="AK130" s="629"/>
      <c r="AL130" s="633">
        <f>SUM(G131:AK131)</f>
        <v>0</v>
      </c>
      <c r="AM130" s="634"/>
      <c r="AN130" s="635"/>
      <c r="AO130" s="636"/>
      <c r="AP130" s="634"/>
      <c r="AQ130" s="637"/>
      <c r="AR130" s="637"/>
    </row>
    <row r="131" spans="1:44" ht="15.9" hidden="1" customHeight="1">
      <c r="A131" s="582"/>
      <c r="B131" s="1655"/>
      <c r="C131" s="1656"/>
      <c r="D131" s="1657"/>
      <c r="E131" s="1658"/>
      <c r="F131" s="638" t="s">
        <v>1234</v>
      </c>
      <c r="G131" s="639" t="str">
        <f t="shared" ref="G131:AK131" si="61">IF(G130&lt;&gt;"",VLOOKUP(G130,$AC$197:$AL$221,9,FALSE),"")</f>
        <v/>
      </c>
      <c r="H131" s="640" t="str">
        <f t="shared" si="61"/>
        <v/>
      </c>
      <c r="I131" s="640" t="str">
        <f t="shared" si="61"/>
        <v/>
      </c>
      <c r="J131" s="640" t="str">
        <f t="shared" si="61"/>
        <v/>
      </c>
      <c r="K131" s="640" t="str">
        <f t="shared" si="61"/>
        <v/>
      </c>
      <c r="L131" s="640" t="str">
        <f t="shared" si="61"/>
        <v/>
      </c>
      <c r="M131" s="641" t="str">
        <f t="shared" si="61"/>
        <v/>
      </c>
      <c r="N131" s="639" t="str">
        <f t="shared" si="61"/>
        <v/>
      </c>
      <c r="O131" s="640" t="str">
        <f t="shared" si="61"/>
        <v/>
      </c>
      <c r="P131" s="640" t="str">
        <f t="shared" si="61"/>
        <v/>
      </c>
      <c r="Q131" s="640" t="str">
        <f t="shared" si="61"/>
        <v/>
      </c>
      <c r="R131" s="640" t="str">
        <f t="shared" si="61"/>
        <v/>
      </c>
      <c r="S131" s="640" t="str">
        <f t="shared" si="61"/>
        <v/>
      </c>
      <c r="T131" s="641" t="str">
        <f t="shared" si="61"/>
        <v/>
      </c>
      <c r="U131" s="639" t="str">
        <f t="shared" si="61"/>
        <v/>
      </c>
      <c r="V131" s="640" t="str">
        <f t="shared" si="61"/>
        <v/>
      </c>
      <c r="W131" s="640" t="str">
        <f t="shared" si="61"/>
        <v/>
      </c>
      <c r="X131" s="640" t="str">
        <f t="shared" si="61"/>
        <v/>
      </c>
      <c r="Y131" s="640" t="str">
        <f t="shared" si="61"/>
        <v/>
      </c>
      <c r="Z131" s="640" t="str">
        <f t="shared" si="61"/>
        <v/>
      </c>
      <c r="AA131" s="641" t="str">
        <f t="shared" si="61"/>
        <v/>
      </c>
      <c r="AB131" s="639" t="str">
        <f t="shared" si="61"/>
        <v/>
      </c>
      <c r="AC131" s="640" t="str">
        <f t="shared" si="61"/>
        <v/>
      </c>
      <c r="AD131" s="640" t="str">
        <f t="shared" si="61"/>
        <v/>
      </c>
      <c r="AE131" s="640" t="str">
        <f t="shared" si="61"/>
        <v/>
      </c>
      <c r="AF131" s="640" t="str">
        <f t="shared" si="61"/>
        <v/>
      </c>
      <c r="AG131" s="640" t="str">
        <f t="shared" si="61"/>
        <v/>
      </c>
      <c r="AH131" s="641" t="str">
        <f t="shared" si="61"/>
        <v/>
      </c>
      <c r="AI131" s="642" t="str">
        <f t="shared" si="61"/>
        <v/>
      </c>
      <c r="AJ131" s="640" t="str">
        <f t="shared" si="61"/>
        <v/>
      </c>
      <c r="AK131" s="640" t="str">
        <f t="shared" si="61"/>
        <v/>
      </c>
      <c r="AL131" s="643">
        <f>SUM(G131:AH131)</f>
        <v>0</v>
      </c>
      <c r="AM131" s="644">
        <f>AL131/4</f>
        <v>0</v>
      </c>
      <c r="AN131" s="645" t="str">
        <f>IF(C130="","",C130)</f>
        <v/>
      </c>
      <c r="AO131" s="646" t="str">
        <f>IF(D130="","",D130)</f>
        <v/>
      </c>
      <c r="AP131" s="647" t="str">
        <f>IF(D130&lt;&gt;"",VLOOKUP(D130,$AU$2:$AV$6,2,FALSE),"")</f>
        <v/>
      </c>
      <c r="AQ131" s="644">
        <f>ROUNDDOWN(AL131/$AL$6,2)</f>
        <v>0</v>
      </c>
      <c r="AR131" s="644">
        <f>IF(AP131=1,"",AQ131)</f>
        <v>0</v>
      </c>
    </row>
    <row r="132" spans="1:44" ht="15.9" hidden="1" customHeight="1">
      <c r="A132" s="582"/>
      <c r="B132" s="1655" t="s">
        <v>1295</v>
      </c>
      <c r="C132" s="1640"/>
      <c r="D132" s="1642"/>
      <c r="E132" s="1644"/>
      <c r="F132" s="627" t="s">
        <v>1233</v>
      </c>
      <c r="G132" s="628"/>
      <c r="H132" s="629"/>
      <c r="I132" s="630"/>
      <c r="J132" s="630"/>
      <c r="K132" s="630"/>
      <c r="L132" s="630"/>
      <c r="M132" s="631"/>
      <c r="N132" s="628"/>
      <c r="O132" s="629"/>
      <c r="P132" s="630"/>
      <c r="Q132" s="630"/>
      <c r="R132" s="630"/>
      <c r="S132" s="630"/>
      <c r="T132" s="631"/>
      <c r="U132" s="628"/>
      <c r="V132" s="629"/>
      <c r="W132" s="630"/>
      <c r="X132" s="630"/>
      <c r="Y132" s="630"/>
      <c r="Z132" s="630"/>
      <c r="AA132" s="631"/>
      <c r="AB132" s="628"/>
      <c r="AC132" s="629"/>
      <c r="AD132" s="630"/>
      <c r="AE132" s="630"/>
      <c r="AF132" s="630"/>
      <c r="AG132" s="630"/>
      <c r="AH132" s="631"/>
      <c r="AI132" s="648"/>
      <c r="AJ132" s="629"/>
      <c r="AK132" s="629"/>
      <c r="AL132" s="633">
        <f>SUM(G133:AK133)</f>
        <v>0</v>
      </c>
      <c r="AM132" s="634"/>
      <c r="AN132" s="635"/>
      <c r="AO132" s="636"/>
      <c r="AP132" s="634"/>
      <c r="AQ132" s="637"/>
      <c r="AR132" s="637"/>
    </row>
    <row r="133" spans="1:44" ht="15.9" hidden="1" customHeight="1">
      <c r="A133" s="582"/>
      <c r="B133" s="1655"/>
      <c r="C133" s="1656"/>
      <c r="D133" s="1657"/>
      <c r="E133" s="1658"/>
      <c r="F133" s="638" t="s">
        <v>1234</v>
      </c>
      <c r="G133" s="639" t="str">
        <f t="shared" ref="G133:AK133" si="62">IF(G132&lt;&gt;"",VLOOKUP(G132,$AC$197:$AL$221,9,FALSE),"")</f>
        <v/>
      </c>
      <c r="H133" s="640" t="str">
        <f t="shared" si="62"/>
        <v/>
      </c>
      <c r="I133" s="640" t="str">
        <f t="shared" si="62"/>
        <v/>
      </c>
      <c r="J133" s="640" t="str">
        <f t="shared" si="62"/>
        <v/>
      </c>
      <c r="K133" s="640" t="str">
        <f t="shared" si="62"/>
        <v/>
      </c>
      <c r="L133" s="640" t="str">
        <f t="shared" si="62"/>
        <v/>
      </c>
      <c r="M133" s="641" t="str">
        <f t="shared" si="62"/>
        <v/>
      </c>
      <c r="N133" s="639" t="str">
        <f t="shared" si="62"/>
        <v/>
      </c>
      <c r="O133" s="640" t="str">
        <f t="shared" si="62"/>
        <v/>
      </c>
      <c r="P133" s="640" t="str">
        <f t="shared" si="62"/>
        <v/>
      </c>
      <c r="Q133" s="640" t="str">
        <f t="shared" si="62"/>
        <v/>
      </c>
      <c r="R133" s="640" t="str">
        <f t="shared" si="62"/>
        <v/>
      </c>
      <c r="S133" s="640" t="str">
        <f t="shared" si="62"/>
        <v/>
      </c>
      <c r="T133" s="641" t="str">
        <f t="shared" si="62"/>
        <v/>
      </c>
      <c r="U133" s="639" t="str">
        <f t="shared" si="62"/>
        <v/>
      </c>
      <c r="V133" s="640" t="str">
        <f t="shared" si="62"/>
        <v/>
      </c>
      <c r="W133" s="640" t="str">
        <f t="shared" si="62"/>
        <v/>
      </c>
      <c r="X133" s="640" t="str">
        <f t="shared" si="62"/>
        <v/>
      </c>
      <c r="Y133" s="640" t="str">
        <f t="shared" si="62"/>
        <v/>
      </c>
      <c r="Z133" s="640" t="str">
        <f t="shared" si="62"/>
        <v/>
      </c>
      <c r="AA133" s="641" t="str">
        <f t="shared" si="62"/>
        <v/>
      </c>
      <c r="AB133" s="639" t="str">
        <f t="shared" si="62"/>
        <v/>
      </c>
      <c r="AC133" s="640" t="str">
        <f t="shared" si="62"/>
        <v/>
      </c>
      <c r="AD133" s="640" t="str">
        <f t="shared" si="62"/>
        <v/>
      </c>
      <c r="AE133" s="640" t="str">
        <f t="shared" si="62"/>
        <v/>
      </c>
      <c r="AF133" s="640" t="str">
        <f t="shared" si="62"/>
        <v/>
      </c>
      <c r="AG133" s="640" t="str">
        <f t="shared" si="62"/>
        <v/>
      </c>
      <c r="AH133" s="641" t="str">
        <f t="shared" si="62"/>
        <v/>
      </c>
      <c r="AI133" s="642" t="str">
        <f t="shared" si="62"/>
        <v/>
      </c>
      <c r="AJ133" s="640" t="str">
        <f t="shared" si="62"/>
        <v/>
      </c>
      <c r="AK133" s="640" t="str">
        <f t="shared" si="62"/>
        <v/>
      </c>
      <c r="AL133" s="643">
        <f>SUM(G133:AH133)</f>
        <v>0</v>
      </c>
      <c r="AM133" s="644">
        <f>AL133/4</f>
        <v>0</v>
      </c>
      <c r="AN133" s="645" t="str">
        <f>IF(C132="","",C132)</f>
        <v/>
      </c>
      <c r="AO133" s="646" t="str">
        <f>IF(D132="","",D132)</f>
        <v/>
      </c>
      <c r="AP133" s="647" t="str">
        <f>IF(D132&lt;&gt;"",VLOOKUP(D132,$AU$2:$AV$6,2,FALSE),"")</f>
        <v/>
      </c>
      <c r="AQ133" s="644">
        <f>ROUNDDOWN(AL133/$AL$6,2)</f>
        <v>0</v>
      </c>
      <c r="AR133" s="644">
        <f>IF(AP133=1,"",AQ133)</f>
        <v>0</v>
      </c>
    </row>
    <row r="134" spans="1:44" ht="15.9" hidden="1" customHeight="1">
      <c r="A134" s="582"/>
      <c r="B134" s="1655" t="s">
        <v>1296</v>
      </c>
      <c r="C134" s="1640"/>
      <c r="D134" s="1642"/>
      <c r="E134" s="1644"/>
      <c r="F134" s="627" t="s">
        <v>1233</v>
      </c>
      <c r="G134" s="628"/>
      <c r="H134" s="629"/>
      <c r="I134" s="630"/>
      <c r="J134" s="630"/>
      <c r="K134" s="630"/>
      <c r="L134" s="630"/>
      <c r="M134" s="631"/>
      <c r="N134" s="628"/>
      <c r="O134" s="629"/>
      <c r="P134" s="630"/>
      <c r="Q134" s="630"/>
      <c r="R134" s="630"/>
      <c r="S134" s="630"/>
      <c r="T134" s="631"/>
      <c r="U134" s="628"/>
      <c r="V134" s="629"/>
      <c r="W134" s="630"/>
      <c r="X134" s="630"/>
      <c r="Y134" s="630"/>
      <c r="Z134" s="630"/>
      <c r="AA134" s="631"/>
      <c r="AB134" s="628"/>
      <c r="AC134" s="629"/>
      <c r="AD134" s="630"/>
      <c r="AE134" s="630"/>
      <c r="AF134" s="630"/>
      <c r="AG134" s="630"/>
      <c r="AH134" s="631"/>
      <c r="AI134" s="648"/>
      <c r="AJ134" s="629"/>
      <c r="AK134" s="629"/>
      <c r="AL134" s="633">
        <f>SUM(G135:AK135)</f>
        <v>0</v>
      </c>
      <c r="AM134" s="634"/>
      <c r="AN134" s="635"/>
      <c r="AO134" s="636"/>
      <c r="AP134" s="634"/>
      <c r="AQ134" s="637"/>
      <c r="AR134" s="637"/>
    </row>
    <row r="135" spans="1:44" ht="15.9" hidden="1" customHeight="1">
      <c r="A135" s="582"/>
      <c r="B135" s="1655"/>
      <c r="C135" s="1656"/>
      <c r="D135" s="1657"/>
      <c r="E135" s="1658"/>
      <c r="F135" s="638" t="s">
        <v>1234</v>
      </c>
      <c r="G135" s="639" t="str">
        <f t="shared" ref="G135:AK135" si="63">IF(G134&lt;&gt;"",VLOOKUP(G134,$AC$197:$AL$221,9,FALSE),"")</f>
        <v/>
      </c>
      <c r="H135" s="640" t="str">
        <f t="shared" si="63"/>
        <v/>
      </c>
      <c r="I135" s="640" t="str">
        <f t="shared" si="63"/>
        <v/>
      </c>
      <c r="J135" s="640" t="str">
        <f t="shared" si="63"/>
        <v/>
      </c>
      <c r="K135" s="640" t="str">
        <f t="shared" si="63"/>
        <v/>
      </c>
      <c r="L135" s="640" t="str">
        <f t="shared" si="63"/>
        <v/>
      </c>
      <c r="M135" s="641" t="str">
        <f t="shared" si="63"/>
        <v/>
      </c>
      <c r="N135" s="639" t="str">
        <f t="shared" si="63"/>
        <v/>
      </c>
      <c r="O135" s="640" t="str">
        <f t="shared" si="63"/>
        <v/>
      </c>
      <c r="P135" s="640" t="str">
        <f t="shared" si="63"/>
        <v/>
      </c>
      <c r="Q135" s="640" t="str">
        <f t="shared" si="63"/>
        <v/>
      </c>
      <c r="R135" s="640" t="str">
        <f t="shared" si="63"/>
        <v/>
      </c>
      <c r="S135" s="640" t="str">
        <f t="shared" si="63"/>
        <v/>
      </c>
      <c r="T135" s="641" t="str">
        <f t="shared" si="63"/>
        <v/>
      </c>
      <c r="U135" s="639" t="str">
        <f t="shared" si="63"/>
        <v/>
      </c>
      <c r="V135" s="640" t="str">
        <f t="shared" si="63"/>
        <v/>
      </c>
      <c r="W135" s="640" t="str">
        <f t="shared" si="63"/>
        <v/>
      </c>
      <c r="X135" s="640" t="str">
        <f t="shared" si="63"/>
        <v/>
      </c>
      <c r="Y135" s="640" t="str">
        <f t="shared" si="63"/>
        <v/>
      </c>
      <c r="Z135" s="640" t="str">
        <f t="shared" si="63"/>
        <v/>
      </c>
      <c r="AA135" s="641" t="str">
        <f t="shared" si="63"/>
        <v/>
      </c>
      <c r="AB135" s="639" t="str">
        <f t="shared" si="63"/>
        <v/>
      </c>
      <c r="AC135" s="640" t="str">
        <f t="shared" si="63"/>
        <v/>
      </c>
      <c r="AD135" s="640" t="str">
        <f t="shared" si="63"/>
        <v/>
      </c>
      <c r="AE135" s="640" t="str">
        <f t="shared" si="63"/>
        <v/>
      </c>
      <c r="AF135" s="640" t="str">
        <f t="shared" si="63"/>
        <v/>
      </c>
      <c r="AG135" s="640" t="str">
        <f t="shared" si="63"/>
        <v/>
      </c>
      <c r="AH135" s="641" t="str">
        <f t="shared" si="63"/>
        <v/>
      </c>
      <c r="AI135" s="642" t="str">
        <f t="shared" si="63"/>
        <v/>
      </c>
      <c r="AJ135" s="640" t="str">
        <f t="shared" si="63"/>
        <v/>
      </c>
      <c r="AK135" s="640" t="str">
        <f t="shared" si="63"/>
        <v/>
      </c>
      <c r="AL135" s="643">
        <f>SUM(G135:AH135)</f>
        <v>0</v>
      </c>
      <c r="AM135" s="644">
        <f>AL135/4</f>
        <v>0</v>
      </c>
      <c r="AN135" s="645" t="str">
        <f>IF(C134="","",C134)</f>
        <v/>
      </c>
      <c r="AO135" s="646" t="str">
        <f>IF(D134="","",D134)</f>
        <v/>
      </c>
      <c r="AP135" s="647" t="str">
        <f>IF(D134&lt;&gt;"",VLOOKUP(D134,$AU$2:$AV$6,2,FALSE),"")</f>
        <v/>
      </c>
      <c r="AQ135" s="644">
        <f>ROUNDDOWN(AL135/$AL$6,2)</f>
        <v>0</v>
      </c>
      <c r="AR135" s="644">
        <f>IF(AP135=1,"",AQ135)</f>
        <v>0</v>
      </c>
    </row>
    <row r="136" spans="1:44" ht="15.9" hidden="1" customHeight="1">
      <c r="A136" s="582"/>
      <c r="B136" s="1655" t="s">
        <v>1297</v>
      </c>
      <c r="C136" s="1640"/>
      <c r="D136" s="1642"/>
      <c r="E136" s="1644"/>
      <c r="F136" s="627" t="s">
        <v>1233</v>
      </c>
      <c r="G136" s="628"/>
      <c r="H136" s="629"/>
      <c r="I136" s="630"/>
      <c r="J136" s="630"/>
      <c r="K136" s="630"/>
      <c r="L136" s="630"/>
      <c r="M136" s="631"/>
      <c r="N136" s="628"/>
      <c r="O136" s="629"/>
      <c r="P136" s="630"/>
      <c r="Q136" s="630"/>
      <c r="R136" s="630"/>
      <c r="S136" s="630"/>
      <c r="T136" s="631"/>
      <c r="U136" s="628"/>
      <c r="V136" s="629"/>
      <c r="W136" s="630"/>
      <c r="X136" s="630"/>
      <c r="Y136" s="630"/>
      <c r="Z136" s="630"/>
      <c r="AA136" s="631"/>
      <c r="AB136" s="628"/>
      <c r="AC136" s="629"/>
      <c r="AD136" s="630"/>
      <c r="AE136" s="630"/>
      <c r="AF136" s="630"/>
      <c r="AG136" s="630"/>
      <c r="AH136" s="631"/>
      <c r="AI136" s="648"/>
      <c r="AJ136" s="629"/>
      <c r="AK136" s="629"/>
      <c r="AL136" s="633">
        <f>SUM(G137:AK137)</f>
        <v>0</v>
      </c>
      <c r="AM136" s="634"/>
      <c r="AN136" s="635"/>
      <c r="AO136" s="636"/>
      <c r="AP136" s="634"/>
      <c r="AQ136" s="637"/>
      <c r="AR136" s="637"/>
    </row>
    <row r="137" spans="1:44" ht="15.9" hidden="1" customHeight="1">
      <c r="A137" s="582"/>
      <c r="B137" s="1655"/>
      <c r="C137" s="1656"/>
      <c r="D137" s="1657"/>
      <c r="E137" s="1658"/>
      <c r="F137" s="638" t="s">
        <v>1234</v>
      </c>
      <c r="G137" s="639" t="str">
        <f t="shared" ref="G137:AK137" si="64">IF(G136&lt;&gt;"",VLOOKUP(G136,$AC$197:$AL$221,9,FALSE),"")</f>
        <v/>
      </c>
      <c r="H137" s="640" t="str">
        <f t="shared" si="64"/>
        <v/>
      </c>
      <c r="I137" s="640" t="str">
        <f t="shared" si="64"/>
        <v/>
      </c>
      <c r="J137" s="640" t="str">
        <f t="shared" si="64"/>
        <v/>
      </c>
      <c r="K137" s="640" t="str">
        <f t="shared" si="64"/>
        <v/>
      </c>
      <c r="L137" s="640" t="str">
        <f t="shared" si="64"/>
        <v/>
      </c>
      <c r="M137" s="641" t="str">
        <f t="shared" si="64"/>
        <v/>
      </c>
      <c r="N137" s="639" t="str">
        <f t="shared" si="64"/>
        <v/>
      </c>
      <c r="O137" s="640" t="str">
        <f t="shared" si="64"/>
        <v/>
      </c>
      <c r="P137" s="640" t="str">
        <f t="shared" si="64"/>
        <v/>
      </c>
      <c r="Q137" s="640" t="str">
        <f t="shared" si="64"/>
        <v/>
      </c>
      <c r="R137" s="640" t="str">
        <f t="shared" si="64"/>
        <v/>
      </c>
      <c r="S137" s="640" t="str">
        <f t="shared" si="64"/>
        <v/>
      </c>
      <c r="T137" s="641" t="str">
        <f t="shared" si="64"/>
        <v/>
      </c>
      <c r="U137" s="639" t="str">
        <f t="shared" si="64"/>
        <v/>
      </c>
      <c r="V137" s="640" t="str">
        <f t="shared" si="64"/>
        <v/>
      </c>
      <c r="W137" s="640" t="str">
        <f t="shared" si="64"/>
        <v/>
      </c>
      <c r="X137" s="640" t="str">
        <f t="shared" si="64"/>
        <v/>
      </c>
      <c r="Y137" s="640" t="str">
        <f t="shared" si="64"/>
        <v/>
      </c>
      <c r="Z137" s="640" t="str">
        <f t="shared" si="64"/>
        <v/>
      </c>
      <c r="AA137" s="641" t="str">
        <f t="shared" si="64"/>
        <v/>
      </c>
      <c r="AB137" s="639" t="str">
        <f t="shared" si="64"/>
        <v/>
      </c>
      <c r="AC137" s="640" t="str">
        <f t="shared" si="64"/>
        <v/>
      </c>
      <c r="AD137" s="640" t="str">
        <f t="shared" si="64"/>
        <v/>
      </c>
      <c r="AE137" s="640" t="str">
        <f t="shared" si="64"/>
        <v/>
      </c>
      <c r="AF137" s="640" t="str">
        <f t="shared" si="64"/>
        <v/>
      </c>
      <c r="AG137" s="640" t="str">
        <f t="shared" si="64"/>
        <v/>
      </c>
      <c r="AH137" s="641" t="str">
        <f t="shared" si="64"/>
        <v/>
      </c>
      <c r="AI137" s="642" t="str">
        <f t="shared" si="64"/>
        <v/>
      </c>
      <c r="AJ137" s="640" t="str">
        <f t="shared" si="64"/>
        <v/>
      </c>
      <c r="AK137" s="640" t="str">
        <f t="shared" si="64"/>
        <v/>
      </c>
      <c r="AL137" s="643">
        <f>SUM(G137:AH137)</f>
        <v>0</v>
      </c>
      <c r="AM137" s="644">
        <f>AL137/4</f>
        <v>0</v>
      </c>
      <c r="AN137" s="645" t="str">
        <f>IF(C136="","",C136)</f>
        <v/>
      </c>
      <c r="AO137" s="646" t="str">
        <f>IF(D136="","",D136)</f>
        <v/>
      </c>
      <c r="AP137" s="647" t="str">
        <f>IF(D136&lt;&gt;"",VLOOKUP(D136,$AU$2:$AV$6,2,FALSE),"")</f>
        <v/>
      </c>
      <c r="AQ137" s="644">
        <f>ROUNDDOWN(AL137/$AL$6,2)</f>
        <v>0</v>
      </c>
      <c r="AR137" s="644">
        <f>IF(AP137=1,"",AQ137)</f>
        <v>0</v>
      </c>
    </row>
    <row r="138" spans="1:44" ht="15.9" customHeight="1">
      <c r="A138" s="582"/>
      <c r="B138" s="1655" t="s">
        <v>1298</v>
      </c>
      <c r="C138" s="1640"/>
      <c r="D138" s="1642"/>
      <c r="E138" s="1644"/>
      <c r="F138" s="627" t="s">
        <v>1233</v>
      </c>
      <c r="G138" s="628"/>
      <c r="H138" s="629"/>
      <c r="I138" s="630"/>
      <c r="J138" s="630"/>
      <c r="K138" s="630"/>
      <c r="L138" s="630"/>
      <c r="M138" s="631"/>
      <c r="N138" s="628"/>
      <c r="O138" s="629"/>
      <c r="P138" s="630"/>
      <c r="Q138" s="630"/>
      <c r="R138" s="630"/>
      <c r="S138" s="630"/>
      <c r="T138" s="631"/>
      <c r="U138" s="628"/>
      <c r="V138" s="629"/>
      <c r="W138" s="630"/>
      <c r="X138" s="630"/>
      <c r="Y138" s="630"/>
      <c r="Z138" s="630"/>
      <c r="AA138" s="631"/>
      <c r="AB138" s="628"/>
      <c r="AC138" s="629"/>
      <c r="AD138" s="630"/>
      <c r="AE138" s="630"/>
      <c r="AF138" s="630"/>
      <c r="AG138" s="630"/>
      <c r="AH138" s="631"/>
      <c r="AI138" s="648"/>
      <c r="AJ138" s="629"/>
      <c r="AK138" s="629"/>
      <c r="AL138" s="633">
        <f>SUM(G139:AK139)</f>
        <v>0</v>
      </c>
      <c r="AM138" s="634"/>
      <c r="AN138" s="635"/>
      <c r="AO138" s="636"/>
      <c r="AP138" s="634"/>
      <c r="AQ138" s="637"/>
      <c r="AR138" s="637"/>
    </row>
    <row r="139" spans="1:44" ht="15.9" customHeight="1" thickBot="1">
      <c r="A139" s="649"/>
      <c r="B139" s="1659"/>
      <c r="C139" s="1656"/>
      <c r="D139" s="1657"/>
      <c r="E139" s="1658"/>
      <c r="F139" s="638" t="s">
        <v>1234</v>
      </c>
      <c r="G139" s="639" t="str">
        <f t="shared" ref="G139:AK139" si="65">IF(G138&lt;&gt;"",VLOOKUP(G138,$AC$197:$AL$221,9,FALSE),"")</f>
        <v/>
      </c>
      <c r="H139" s="640" t="str">
        <f t="shared" si="65"/>
        <v/>
      </c>
      <c r="I139" s="640" t="str">
        <f t="shared" si="65"/>
        <v/>
      </c>
      <c r="J139" s="640" t="str">
        <f t="shared" si="65"/>
        <v/>
      </c>
      <c r="K139" s="640" t="str">
        <f t="shared" si="65"/>
        <v/>
      </c>
      <c r="L139" s="640" t="str">
        <f t="shared" si="65"/>
        <v/>
      </c>
      <c r="M139" s="641" t="str">
        <f t="shared" si="65"/>
        <v/>
      </c>
      <c r="N139" s="639" t="str">
        <f t="shared" si="65"/>
        <v/>
      </c>
      <c r="O139" s="640" t="str">
        <f t="shared" si="65"/>
        <v/>
      </c>
      <c r="P139" s="640" t="str">
        <f t="shared" si="65"/>
        <v/>
      </c>
      <c r="Q139" s="640" t="str">
        <f t="shared" si="65"/>
        <v/>
      </c>
      <c r="R139" s="640" t="str">
        <f t="shared" si="65"/>
        <v/>
      </c>
      <c r="S139" s="640" t="str">
        <f t="shared" si="65"/>
        <v/>
      </c>
      <c r="T139" s="641" t="str">
        <f t="shared" si="65"/>
        <v/>
      </c>
      <c r="U139" s="639" t="str">
        <f t="shared" si="65"/>
        <v/>
      </c>
      <c r="V139" s="640" t="str">
        <f t="shared" si="65"/>
        <v/>
      </c>
      <c r="W139" s="640" t="str">
        <f t="shared" si="65"/>
        <v/>
      </c>
      <c r="X139" s="640" t="str">
        <f t="shared" si="65"/>
        <v/>
      </c>
      <c r="Y139" s="640" t="str">
        <f t="shared" si="65"/>
        <v/>
      </c>
      <c r="Z139" s="640" t="str">
        <f t="shared" si="65"/>
        <v/>
      </c>
      <c r="AA139" s="641" t="str">
        <f t="shared" si="65"/>
        <v/>
      </c>
      <c r="AB139" s="639" t="str">
        <f t="shared" si="65"/>
        <v/>
      </c>
      <c r="AC139" s="640" t="str">
        <f t="shared" si="65"/>
        <v/>
      </c>
      <c r="AD139" s="640" t="str">
        <f t="shared" si="65"/>
        <v/>
      </c>
      <c r="AE139" s="640" t="str">
        <f t="shared" si="65"/>
        <v/>
      </c>
      <c r="AF139" s="640" t="str">
        <f t="shared" si="65"/>
        <v/>
      </c>
      <c r="AG139" s="640" t="str">
        <f t="shared" si="65"/>
        <v/>
      </c>
      <c r="AH139" s="641" t="str">
        <f t="shared" si="65"/>
        <v/>
      </c>
      <c r="AI139" s="642" t="str">
        <f t="shared" si="65"/>
        <v/>
      </c>
      <c r="AJ139" s="640" t="str">
        <f t="shared" si="65"/>
        <v/>
      </c>
      <c r="AK139" s="640" t="str">
        <f t="shared" si="65"/>
        <v/>
      </c>
      <c r="AL139" s="643">
        <f>SUM(G139:AH139)</f>
        <v>0</v>
      </c>
      <c r="AM139" s="644">
        <f>AL139/4</f>
        <v>0</v>
      </c>
      <c r="AN139" s="645" t="str">
        <f>IF(C138="","",C138)</f>
        <v/>
      </c>
      <c r="AO139" s="646" t="str">
        <f>IF(D138="","",D138)</f>
        <v/>
      </c>
      <c r="AP139" s="647" t="str">
        <f>IF(D138&lt;&gt;"",VLOOKUP(D138,$AU$2:$AV$6,2,FALSE),"")</f>
        <v/>
      </c>
      <c r="AQ139" s="644">
        <f>ROUNDDOWN(AL139/$AL$6,2)</f>
        <v>0</v>
      </c>
      <c r="AR139" s="644">
        <f>IF(AP139=1,"",AQ139)</f>
        <v>0</v>
      </c>
    </row>
    <row r="140" spans="1:44" ht="15.9" customHeight="1" thickTop="1">
      <c r="A140" s="582"/>
      <c r="B140" s="650"/>
      <c r="C140" s="1640"/>
      <c r="D140" s="1642"/>
      <c r="E140" s="1644"/>
      <c r="F140" s="627" t="s">
        <v>1233</v>
      </c>
      <c r="G140" s="628"/>
      <c r="H140" s="629"/>
      <c r="I140" s="630"/>
      <c r="J140" s="630"/>
      <c r="K140" s="630"/>
      <c r="L140" s="630"/>
      <c r="M140" s="631"/>
      <c r="N140" s="628"/>
      <c r="O140" s="629"/>
      <c r="P140" s="630"/>
      <c r="Q140" s="630"/>
      <c r="R140" s="630"/>
      <c r="S140" s="630"/>
      <c r="T140" s="631"/>
      <c r="U140" s="628"/>
      <c r="V140" s="629"/>
      <c r="W140" s="630"/>
      <c r="X140" s="630"/>
      <c r="Y140" s="630"/>
      <c r="Z140" s="630"/>
      <c r="AA140" s="631"/>
      <c r="AB140" s="628"/>
      <c r="AC140" s="629"/>
      <c r="AD140" s="630"/>
      <c r="AE140" s="630"/>
      <c r="AF140" s="630"/>
      <c r="AG140" s="630"/>
      <c r="AH140" s="631"/>
      <c r="AI140" s="648"/>
      <c r="AJ140" s="629"/>
      <c r="AK140" s="629"/>
      <c r="AL140" s="633">
        <f>SUM(G141:AK141)</f>
        <v>0</v>
      </c>
      <c r="AM140" s="634"/>
      <c r="AN140" s="635"/>
      <c r="AO140" s="636"/>
      <c r="AP140" s="634"/>
      <c r="AQ140" s="637"/>
      <c r="AR140" s="637"/>
    </row>
    <row r="141" spans="1:44" ht="15.9" customHeight="1">
      <c r="A141" s="582"/>
      <c r="B141" s="650"/>
      <c r="C141" s="1641"/>
      <c r="D141" s="1643"/>
      <c r="E141" s="1645"/>
      <c r="F141" s="638" t="s">
        <v>1234</v>
      </c>
      <c r="G141" s="639" t="str">
        <f t="shared" ref="G141:AK141" si="66">IF(G140&lt;&gt;"",VLOOKUP(G140,$AC$197:$AL$221,9,FALSE),"")</f>
        <v/>
      </c>
      <c r="H141" s="640" t="str">
        <f t="shared" si="66"/>
        <v/>
      </c>
      <c r="I141" s="640" t="str">
        <f t="shared" si="66"/>
        <v/>
      </c>
      <c r="J141" s="640" t="str">
        <f t="shared" si="66"/>
        <v/>
      </c>
      <c r="K141" s="640" t="str">
        <f t="shared" si="66"/>
        <v/>
      </c>
      <c r="L141" s="640" t="str">
        <f t="shared" si="66"/>
        <v/>
      </c>
      <c r="M141" s="641" t="str">
        <f t="shared" si="66"/>
        <v/>
      </c>
      <c r="N141" s="639" t="str">
        <f t="shared" si="66"/>
        <v/>
      </c>
      <c r="O141" s="640" t="str">
        <f t="shared" si="66"/>
        <v/>
      </c>
      <c r="P141" s="640" t="str">
        <f t="shared" si="66"/>
        <v/>
      </c>
      <c r="Q141" s="640" t="str">
        <f t="shared" si="66"/>
        <v/>
      </c>
      <c r="R141" s="640" t="str">
        <f t="shared" si="66"/>
        <v/>
      </c>
      <c r="S141" s="640" t="str">
        <f t="shared" si="66"/>
        <v/>
      </c>
      <c r="T141" s="641" t="str">
        <f t="shared" si="66"/>
        <v/>
      </c>
      <c r="U141" s="639" t="str">
        <f t="shared" si="66"/>
        <v/>
      </c>
      <c r="V141" s="640" t="str">
        <f t="shared" si="66"/>
        <v/>
      </c>
      <c r="W141" s="640" t="str">
        <f t="shared" si="66"/>
        <v/>
      </c>
      <c r="X141" s="640" t="str">
        <f t="shared" si="66"/>
        <v/>
      </c>
      <c r="Y141" s="640" t="str">
        <f t="shared" si="66"/>
        <v/>
      </c>
      <c r="Z141" s="640" t="str">
        <f t="shared" si="66"/>
        <v/>
      </c>
      <c r="AA141" s="641" t="str">
        <f t="shared" si="66"/>
        <v/>
      </c>
      <c r="AB141" s="639" t="str">
        <f t="shared" si="66"/>
        <v/>
      </c>
      <c r="AC141" s="640" t="str">
        <f t="shared" si="66"/>
        <v/>
      </c>
      <c r="AD141" s="640" t="str">
        <f t="shared" si="66"/>
        <v/>
      </c>
      <c r="AE141" s="640" t="str">
        <f t="shared" si="66"/>
        <v/>
      </c>
      <c r="AF141" s="640" t="str">
        <f t="shared" si="66"/>
        <v/>
      </c>
      <c r="AG141" s="640" t="str">
        <f t="shared" si="66"/>
        <v/>
      </c>
      <c r="AH141" s="641" t="str">
        <f t="shared" si="66"/>
        <v/>
      </c>
      <c r="AI141" s="642" t="str">
        <f t="shared" si="66"/>
        <v/>
      </c>
      <c r="AJ141" s="640" t="str">
        <f t="shared" si="66"/>
        <v/>
      </c>
      <c r="AK141" s="640" t="str">
        <f t="shared" si="66"/>
        <v/>
      </c>
      <c r="AL141" s="643">
        <f>SUM(G141:AH141)</f>
        <v>0</v>
      </c>
      <c r="AM141" s="651">
        <f>AL141/4</f>
        <v>0</v>
      </c>
      <c r="AN141" s="645" t="str">
        <f>IF(C140="","",C140)</f>
        <v/>
      </c>
      <c r="AO141" s="646" t="str">
        <f>IF(D140="","",D140)</f>
        <v/>
      </c>
      <c r="AP141" s="647" t="str">
        <f>IF(D140&lt;&gt;"",VLOOKUP(D140,$AU$2:$AV$6,2,FALSE),"")</f>
        <v/>
      </c>
      <c r="AQ141" s="644">
        <f>ROUNDDOWN(AL141/$AL$6,2)</f>
        <v>0</v>
      </c>
      <c r="AR141" s="644">
        <f>IF(AP141=1,"",AQ141)</f>
        <v>0</v>
      </c>
    </row>
    <row r="142" spans="1:44" ht="8.25" customHeight="1">
      <c r="A142" s="582"/>
      <c r="B142" s="650"/>
      <c r="C142" s="652"/>
      <c r="D142" s="653"/>
      <c r="E142" s="654"/>
      <c r="F142" s="655"/>
      <c r="G142" s="656"/>
      <c r="H142" s="657"/>
      <c r="I142" s="657"/>
      <c r="J142" s="657"/>
      <c r="K142" s="657"/>
      <c r="L142" s="657"/>
      <c r="M142" s="658"/>
      <c r="N142" s="656"/>
      <c r="O142" s="657"/>
      <c r="P142" s="657"/>
      <c r="Q142" s="657"/>
      <c r="R142" s="657"/>
      <c r="S142" s="657"/>
      <c r="T142" s="658"/>
      <c r="U142" s="656"/>
      <c r="V142" s="657"/>
      <c r="W142" s="657"/>
      <c r="X142" s="657"/>
      <c r="Y142" s="657"/>
      <c r="Z142" s="657"/>
      <c r="AA142" s="658"/>
      <c r="AB142" s="656"/>
      <c r="AC142" s="657"/>
      <c r="AD142" s="657"/>
      <c r="AE142" s="657"/>
      <c r="AF142" s="657"/>
      <c r="AG142" s="657"/>
      <c r="AH142" s="658"/>
      <c r="AI142" s="659"/>
      <c r="AJ142" s="657"/>
      <c r="AK142" s="657"/>
      <c r="AL142" s="660"/>
      <c r="AM142" s="661"/>
      <c r="AN142" s="662"/>
      <c r="AO142" s="663"/>
      <c r="AP142" s="664"/>
      <c r="AQ142" s="660"/>
      <c r="AR142" s="660"/>
    </row>
    <row r="143" spans="1:44" ht="15.9" customHeight="1">
      <c r="A143" s="582"/>
      <c r="B143" s="650"/>
      <c r="C143" s="1646" t="s">
        <v>1299</v>
      </c>
      <c r="D143" s="1647"/>
      <c r="E143" s="1648"/>
      <c r="F143" s="665" t="str">
        <f>AC197</f>
        <v>夜</v>
      </c>
      <c r="G143" s="666">
        <f>COUNTIF(G10:G142,$F$143)</f>
        <v>1</v>
      </c>
      <c r="H143" s="667">
        <f t="shared" ref="H143:AK143" si="67">COUNTIF(H10:H142,$F$143)</f>
        <v>1</v>
      </c>
      <c r="I143" s="667">
        <f t="shared" si="67"/>
        <v>1</v>
      </c>
      <c r="J143" s="667">
        <f t="shared" si="67"/>
        <v>1</v>
      </c>
      <c r="K143" s="667">
        <f t="shared" si="67"/>
        <v>1</v>
      </c>
      <c r="L143" s="667">
        <f t="shared" si="67"/>
        <v>1</v>
      </c>
      <c r="M143" s="668">
        <f t="shared" si="67"/>
        <v>1</v>
      </c>
      <c r="N143" s="666">
        <f t="shared" si="67"/>
        <v>1</v>
      </c>
      <c r="O143" s="667">
        <f t="shared" si="67"/>
        <v>1</v>
      </c>
      <c r="P143" s="667">
        <f t="shared" si="67"/>
        <v>1</v>
      </c>
      <c r="Q143" s="667">
        <f t="shared" si="67"/>
        <v>1</v>
      </c>
      <c r="R143" s="667">
        <f t="shared" si="67"/>
        <v>1</v>
      </c>
      <c r="S143" s="667">
        <f t="shared" si="67"/>
        <v>1</v>
      </c>
      <c r="T143" s="668">
        <f t="shared" si="67"/>
        <v>1</v>
      </c>
      <c r="U143" s="666">
        <f t="shared" si="67"/>
        <v>1</v>
      </c>
      <c r="V143" s="667">
        <f t="shared" si="67"/>
        <v>1</v>
      </c>
      <c r="W143" s="667">
        <f t="shared" si="67"/>
        <v>1</v>
      </c>
      <c r="X143" s="667">
        <f t="shared" si="67"/>
        <v>1</v>
      </c>
      <c r="Y143" s="667">
        <f t="shared" si="67"/>
        <v>1</v>
      </c>
      <c r="Z143" s="667">
        <f t="shared" si="67"/>
        <v>1</v>
      </c>
      <c r="AA143" s="668">
        <f t="shared" si="67"/>
        <v>1</v>
      </c>
      <c r="AB143" s="666">
        <f t="shared" si="67"/>
        <v>1</v>
      </c>
      <c r="AC143" s="667">
        <f t="shared" si="67"/>
        <v>1</v>
      </c>
      <c r="AD143" s="667">
        <f t="shared" si="67"/>
        <v>1</v>
      </c>
      <c r="AE143" s="667">
        <f t="shared" si="67"/>
        <v>1</v>
      </c>
      <c r="AF143" s="667">
        <f t="shared" si="67"/>
        <v>1</v>
      </c>
      <c r="AG143" s="667">
        <f t="shared" si="67"/>
        <v>1</v>
      </c>
      <c r="AH143" s="668">
        <f t="shared" si="67"/>
        <v>1</v>
      </c>
      <c r="AI143" s="669">
        <f t="shared" si="67"/>
        <v>1</v>
      </c>
      <c r="AJ143" s="667">
        <f t="shared" si="67"/>
        <v>1</v>
      </c>
      <c r="AK143" s="667">
        <f t="shared" si="67"/>
        <v>1</v>
      </c>
      <c r="AL143" s="670">
        <f>SUM(G143:AK143)</f>
        <v>31</v>
      </c>
      <c r="AM143" s="671"/>
      <c r="AN143" s="672"/>
      <c r="AO143" s="673"/>
      <c r="AP143" s="674"/>
      <c r="AQ143" s="675"/>
      <c r="AR143" s="675"/>
    </row>
    <row r="144" spans="1:44" ht="15.9" customHeight="1">
      <c r="A144" s="582"/>
      <c r="B144" s="676"/>
      <c r="C144" s="677"/>
      <c r="D144" s="677"/>
      <c r="E144" s="677"/>
      <c r="F144" s="678"/>
      <c r="G144" s="679"/>
      <c r="H144" s="679"/>
      <c r="I144" s="679"/>
      <c r="J144" s="679"/>
      <c r="K144" s="679"/>
      <c r="L144" s="679"/>
      <c r="M144" s="679"/>
      <c r="N144" s="679"/>
      <c r="O144" s="679"/>
      <c r="P144" s="679"/>
      <c r="Q144" s="679"/>
      <c r="R144" s="679"/>
      <c r="S144" s="679"/>
      <c r="T144" s="679"/>
      <c r="U144" s="679"/>
      <c r="V144" s="679"/>
      <c r="W144" s="679"/>
      <c r="X144" s="679"/>
      <c r="Y144" s="679"/>
      <c r="Z144" s="679"/>
      <c r="AA144" s="679"/>
      <c r="AB144" s="679"/>
      <c r="AC144" s="679"/>
      <c r="AD144" s="679"/>
      <c r="AE144" s="679"/>
      <c r="AF144" s="679"/>
      <c r="AG144" s="679"/>
      <c r="AH144" s="679"/>
      <c r="AI144" s="679"/>
      <c r="AJ144" s="679"/>
      <c r="AK144" s="679"/>
      <c r="AL144" s="680"/>
      <c r="AM144" s="681"/>
      <c r="AN144" s="682"/>
      <c r="AO144" s="682"/>
      <c r="AP144" s="681"/>
      <c r="AQ144" s="681"/>
      <c r="AR144" s="681"/>
    </row>
    <row r="145" spans="1:48" ht="15.9" customHeight="1">
      <c r="A145" s="582"/>
      <c r="B145" s="650"/>
      <c r="C145" s="583" t="s">
        <v>1300</v>
      </c>
      <c r="D145" s="785"/>
      <c r="E145" s="785"/>
      <c r="F145" s="786"/>
      <c r="G145" s="787"/>
      <c r="H145" s="787"/>
      <c r="I145" s="787"/>
      <c r="J145" s="787"/>
      <c r="K145" s="787"/>
      <c r="L145" s="787"/>
      <c r="M145" s="787"/>
      <c r="N145" s="787"/>
      <c r="O145" s="787"/>
      <c r="P145" s="787"/>
      <c r="Q145" s="787"/>
      <c r="R145" s="787"/>
      <c r="S145" s="787"/>
      <c r="T145" s="787"/>
      <c r="U145" s="787"/>
      <c r="V145" s="787"/>
      <c r="W145" s="787"/>
      <c r="X145" s="787"/>
      <c r="Y145" s="787"/>
      <c r="Z145" s="787"/>
      <c r="AA145" s="787"/>
      <c r="AB145" s="787"/>
      <c r="AC145" s="787"/>
      <c r="AD145" s="787"/>
      <c r="AE145" s="787"/>
      <c r="AF145" s="787"/>
      <c r="AG145" s="787"/>
      <c r="AH145" s="787"/>
      <c r="AI145" s="787"/>
      <c r="AJ145" s="787"/>
      <c r="AK145" s="787"/>
      <c r="AP145" s="686"/>
      <c r="AQ145" s="788"/>
      <c r="AR145" s="788"/>
    </row>
    <row r="146" spans="1:48">
      <c r="A146" s="582"/>
      <c r="B146" s="650"/>
      <c r="C146" s="592"/>
      <c r="D146" s="683"/>
      <c r="E146" s="683"/>
      <c r="F146" s="684"/>
      <c r="G146" s="685"/>
      <c r="H146" s="685"/>
      <c r="I146" s="685"/>
      <c r="J146" s="685"/>
      <c r="K146" s="685"/>
      <c r="L146" s="685"/>
      <c r="M146" s="685"/>
      <c r="N146" s="685"/>
      <c r="O146" s="685"/>
      <c r="P146" s="685"/>
      <c r="Q146" s="685"/>
      <c r="R146" s="685"/>
      <c r="S146" s="687"/>
      <c r="T146" s="685"/>
      <c r="U146" s="685"/>
      <c r="V146" s="685"/>
      <c r="W146" s="685"/>
      <c r="X146" s="685"/>
      <c r="Y146" s="1649" t="s">
        <v>1301</v>
      </c>
      <c r="Z146" s="1649"/>
      <c r="AA146" s="1649"/>
      <c r="AB146" s="1649"/>
      <c r="AC146" s="685"/>
      <c r="AD146" s="1650" t="s">
        <v>1302</v>
      </c>
      <c r="AE146" s="1651"/>
      <c r="AF146" s="1651"/>
      <c r="AG146" s="1651"/>
      <c r="AH146" s="1651"/>
      <c r="AI146" s="1651"/>
      <c r="AJ146" s="1651"/>
      <c r="AK146" s="1651"/>
      <c r="AL146" s="1651"/>
      <c r="AM146" s="688"/>
      <c r="AN146" s="688"/>
      <c r="AO146" s="688"/>
      <c r="AP146" s="686"/>
      <c r="AQ146" s="686"/>
      <c r="AR146" s="686"/>
    </row>
    <row r="147" spans="1:48" s="690" customFormat="1" ht="12.6" thickBot="1">
      <c r="A147" s="683"/>
      <c r="B147" s="650"/>
      <c r="C147" s="684" t="s">
        <v>1207</v>
      </c>
      <c r="D147" s="683"/>
      <c r="E147" s="683"/>
      <c r="F147" s="1652" t="s">
        <v>1303</v>
      </c>
      <c r="G147" s="1652"/>
      <c r="H147" s="1652"/>
      <c r="I147" s="1652"/>
      <c r="J147" s="685"/>
      <c r="K147" s="685"/>
      <c r="L147" s="1653" t="s">
        <v>1304</v>
      </c>
      <c r="M147" s="1653"/>
      <c r="N147" s="1653"/>
      <c r="O147" s="1653"/>
      <c r="P147" s="689"/>
      <c r="Q147" s="689"/>
      <c r="R147" s="689"/>
      <c r="S147" s="1652" t="s">
        <v>1305</v>
      </c>
      <c r="T147" s="1652"/>
      <c r="U147" s="1652"/>
      <c r="V147" s="1652"/>
      <c r="W147" s="1652"/>
      <c r="X147" s="685"/>
      <c r="Y147" s="1654" t="s">
        <v>1306</v>
      </c>
      <c r="Z147" s="1654"/>
      <c r="AA147" s="1654"/>
      <c r="AB147" s="1654"/>
      <c r="AC147" s="685"/>
      <c r="AD147" s="1651"/>
      <c r="AE147" s="1651"/>
      <c r="AF147" s="1651"/>
      <c r="AG147" s="1651"/>
      <c r="AH147" s="1651"/>
      <c r="AI147" s="1651"/>
      <c r="AJ147" s="1651"/>
      <c r="AK147" s="1651"/>
      <c r="AL147" s="1651"/>
      <c r="AM147" s="688"/>
      <c r="AN147" s="688"/>
      <c r="AO147" s="686"/>
      <c r="AP147" s="686"/>
      <c r="AQ147" s="683"/>
      <c r="AR147" s="686"/>
      <c r="AS147" s="683"/>
      <c r="AT147" s="683"/>
      <c r="AU147" s="683"/>
      <c r="AV147" s="683"/>
    </row>
    <row r="148" spans="1:48" s="690" customFormat="1" ht="14.25" customHeight="1" thickBot="1">
      <c r="A148" s="683"/>
      <c r="B148" s="650"/>
      <c r="C148" s="691">
        <f>C4</f>
        <v>43800</v>
      </c>
      <c r="D148" s="683"/>
      <c r="E148" s="683"/>
      <c r="F148" s="683"/>
      <c r="G148" s="1629">
        <f>AN176</f>
        <v>557.73</v>
      </c>
      <c r="H148" s="1630"/>
      <c r="I148" s="1631"/>
      <c r="J148" s="683"/>
      <c r="K148" s="683"/>
      <c r="L148" s="683"/>
      <c r="M148" s="1632">
        <f>C149</f>
        <v>31</v>
      </c>
      <c r="N148" s="1633"/>
      <c r="O148" s="692" t="s">
        <v>1223</v>
      </c>
      <c r="P148" s="684" t="s">
        <v>1307</v>
      </c>
      <c r="Q148" s="1634">
        <v>16</v>
      </c>
      <c r="R148" s="1635"/>
      <c r="S148" s="692" t="s">
        <v>1234</v>
      </c>
      <c r="T148" s="685" t="s">
        <v>1308</v>
      </c>
      <c r="U148" s="1632">
        <f>M148*Q148</f>
        <v>496</v>
      </c>
      <c r="V148" s="1633"/>
      <c r="W148" s="693" t="s">
        <v>1234</v>
      </c>
      <c r="X148" s="685"/>
      <c r="Y148" s="1636">
        <f>ROUNDDOWN(G148/U148,2)</f>
        <v>1.1200000000000001</v>
      </c>
      <c r="Z148" s="1637"/>
      <c r="AA148" s="1637"/>
      <c r="AB148" s="694" t="s">
        <v>1309</v>
      </c>
      <c r="AC148" s="695" t="s">
        <v>1310</v>
      </c>
      <c r="AD148" s="1638">
        <f>AG148+AJ148</f>
        <v>3</v>
      </c>
      <c r="AE148" s="1639"/>
      <c r="AF148" s="685" t="s">
        <v>1311</v>
      </c>
      <c r="AG148" s="1619">
        <v>3</v>
      </c>
      <c r="AH148" s="1619"/>
      <c r="AI148" s="685" t="s">
        <v>1312</v>
      </c>
      <c r="AJ148" s="1619">
        <v>0</v>
      </c>
      <c r="AK148" s="1619"/>
      <c r="AL148" s="687" t="s">
        <v>1313</v>
      </c>
      <c r="AM148" s="696" t="str">
        <f>IF(Y148&gt;=AD148,"ＯＫ","ＮＧ")</f>
        <v>ＮＧ</v>
      </c>
      <c r="AN148" s="688"/>
      <c r="AO148" s="686"/>
      <c r="AP148" s="686"/>
      <c r="AQ148" s="683"/>
      <c r="AR148" s="686"/>
      <c r="AS148" s="683"/>
      <c r="AT148" s="683"/>
      <c r="AU148" s="683"/>
      <c r="AV148" s="683"/>
    </row>
    <row r="149" spans="1:48" s="690" customFormat="1">
      <c r="A149" s="683"/>
      <c r="B149" s="650"/>
      <c r="C149" s="697">
        <f>DAY(EOMONTH(C148,0))</f>
        <v>31</v>
      </c>
      <c r="D149" s="698"/>
      <c r="E149" s="698"/>
      <c r="F149" s="699"/>
      <c r="G149" s="700"/>
      <c r="H149" s="700"/>
      <c r="I149" s="700"/>
      <c r="J149" s="700"/>
      <c r="K149" s="700"/>
      <c r="L149" s="700"/>
      <c r="M149" s="700"/>
      <c r="N149" s="700"/>
      <c r="O149" s="700"/>
      <c r="P149" s="700"/>
      <c r="Q149" s="700"/>
      <c r="R149" s="700"/>
      <c r="S149" s="700"/>
      <c r="T149" s="700"/>
      <c r="U149" s="700"/>
      <c r="V149" s="700"/>
      <c r="W149" s="700"/>
      <c r="X149" s="700"/>
      <c r="Y149" s="700"/>
      <c r="Z149" s="700"/>
      <c r="AA149" s="700"/>
      <c r="AB149" s="700"/>
      <c r="AC149" s="700"/>
      <c r="AD149" s="700"/>
      <c r="AE149" s="700"/>
      <c r="AF149" s="700"/>
      <c r="AG149" s="700"/>
      <c r="AH149" s="700"/>
      <c r="AI149" s="700"/>
      <c r="AJ149" s="700"/>
      <c r="AK149" s="700"/>
      <c r="AL149" s="701" t="s">
        <v>1314</v>
      </c>
      <c r="AM149" s="688" t="s">
        <v>1315</v>
      </c>
      <c r="AN149" s="1620" t="s">
        <v>1316</v>
      </c>
      <c r="AO149" s="1620"/>
      <c r="AP149" s="686"/>
      <c r="AQ149" s="686"/>
      <c r="AR149" s="686"/>
      <c r="AS149" s="683"/>
      <c r="AT149" s="683"/>
      <c r="AU149" s="683"/>
      <c r="AV149" s="683"/>
    </row>
    <row r="150" spans="1:48" ht="15.9" customHeight="1">
      <c r="A150" s="582"/>
      <c r="B150" s="650"/>
      <c r="C150" s="1621" t="s">
        <v>1317</v>
      </c>
      <c r="D150" s="1621"/>
      <c r="E150" s="1621"/>
      <c r="F150" s="1622"/>
      <c r="G150" s="702">
        <f>G8</f>
        <v>1</v>
      </c>
      <c r="H150" s="703">
        <f t="shared" ref="H150:AK150" si="68">H8</f>
        <v>2</v>
      </c>
      <c r="I150" s="703">
        <f t="shared" si="68"/>
        <v>3</v>
      </c>
      <c r="J150" s="703">
        <f t="shared" si="68"/>
        <v>4</v>
      </c>
      <c r="K150" s="703">
        <f t="shared" si="68"/>
        <v>5</v>
      </c>
      <c r="L150" s="703">
        <f t="shared" si="68"/>
        <v>6</v>
      </c>
      <c r="M150" s="704">
        <f t="shared" si="68"/>
        <v>7</v>
      </c>
      <c r="N150" s="702">
        <f t="shared" si="68"/>
        <v>8</v>
      </c>
      <c r="O150" s="703">
        <f t="shared" si="68"/>
        <v>9</v>
      </c>
      <c r="P150" s="703">
        <f t="shared" si="68"/>
        <v>10</v>
      </c>
      <c r="Q150" s="703">
        <f t="shared" si="68"/>
        <v>11</v>
      </c>
      <c r="R150" s="703">
        <f t="shared" si="68"/>
        <v>12</v>
      </c>
      <c r="S150" s="703">
        <f t="shared" si="68"/>
        <v>13</v>
      </c>
      <c r="T150" s="704">
        <f t="shared" si="68"/>
        <v>14</v>
      </c>
      <c r="U150" s="702">
        <f t="shared" si="68"/>
        <v>15</v>
      </c>
      <c r="V150" s="703">
        <f t="shared" si="68"/>
        <v>16</v>
      </c>
      <c r="W150" s="703">
        <f t="shared" si="68"/>
        <v>17</v>
      </c>
      <c r="X150" s="703">
        <f t="shared" si="68"/>
        <v>18</v>
      </c>
      <c r="Y150" s="703">
        <f t="shared" si="68"/>
        <v>19</v>
      </c>
      <c r="Z150" s="703">
        <f t="shared" si="68"/>
        <v>20</v>
      </c>
      <c r="AA150" s="704">
        <f t="shared" si="68"/>
        <v>21</v>
      </c>
      <c r="AB150" s="702">
        <f t="shared" si="68"/>
        <v>22</v>
      </c>
      <c r="AC150" s="703">
        <f t="shared" si="68"/>
        <v>23</v>
      </c>
      <c r="AD150" s="703">
        <f t="shared" si="68"/>
        <v>24</v>
      </c>
      <c r="AE150" s="703">
        <f t="shared" si="68"/>
        <v>25</v>
      </c>
      <c r="AF150" s="703">
        <f t="shared" si="68"/>
        <v>26</v>
      </c>
      <c r="AG150" s="703">
        <f t="shared" si="68"/>
        <v>27</v>
      </c>
      <c r="AH150" s="704">
        <f t="shared" si="68"/>
        <v>28</v>
      </c>
      <c r="AI150" s="702">
        <f t="shared" si="68"/>
        <v>29</v>
      </c>
      <c r="AJ150" s="703">
        <f t="shared" si="68"/>
        <v>30</v>
      </c>
      <c r="AK150" s="703">
        <f t="shared" si="68"/>
        <v>31</v>
      </c>
      <c r="AL150" s="705" t="s">
        <v>1318</v>
      </c>
      <c r="AM150" s="706" t="s">
        <v>1319</v>
      </c>
      <c r="AN150" s="1622" t="s">
        <v>1320</v>
      </c>
      <c r="AO150" s="1623"/>
      <c r="AP150" s="707"/>
      <c r="AQ150" s="686"/>
      <c r="AR150" s="686"/>
    </row>
    <row r="151" spans="1:48">
      <c r="A151" s="582"/>
      <c r="B151" s="650" t="s">
        <v>1321</v>
      </c>
      <c r="C151" s="1624" t="str">
        <f>CONCATENATE(AC197,"：",AD197,"（",AF197,AH197,AI197,"）",AK197,AM197)</f>
        <v>夜：夜勤（16：30～0：00）7.5ｈ</v>
      </c>
      <c r="D151" s="1625"/>
      <c r="E151" s="1626"/>
      <c r="F151" s="708" t="str">
        <f>IF(AC197="","",AC197)</f>
        <v>夜</v>
      </c>
      <c r="G151" s="709">
        <f>COUNTIF($G$10:$G$142,F151)</f>
        <v>1</v>
      </c>
      <c r="H151" s="710">
        <f>COUNTIF($H$10:$H$142,F151)</f>
        <v>1</v>
      </c>
      <c r="I151" s="710">
        <f>COUNTIF($I$10:$I$142,F151)</f>
        <v>1</v>
      </c>
      <c r="J151" s="710">
        <f>COUNTIF($J$10:$J$142,F151)</f>
        <v>1</v>
      </c>
      <c r="K151" s="710">
        <f>COUNTIF($K$10:$K$142,F151)</f>
        <v>1</v>
      </c>
      <c r="L151" s="710">
        <f>COUNTIF(L$10:L$142,F151)</f>
        <v>1</v>
      </c>
      <c r="M151" s="711">
        <f>COUNTIF(M$10:M$142,F151)</f>
        <v>1</v>
      </c>
      <c r="N151" s="709">
        <f>COUNTIF(N$10:N$142,F151)</f>
        <v>1</v>
      </c>
      <c r="O151" s="710">
        <f>COUNTIF(O$10:O$142,F151)</f>
        <v>1</v>
      </c>
      <c r="P151" s="710">
        <f>COUNTIF(P$10:P$142,F151)</f>
        <v>1</v>
      </c>
      <c r="Q151" s="710">
        <f>COUNTIF(Q$10:Q$142,F151)</f>
        <v>1</v>
      </c>
      <c r="R151" s="710">
        <f>COUNTIF(R$10:R$142,F151)</f>
        <v>1</v>
      </c>
      <c r="S151" s="710">
        <f>COUNTIF(S$10:S$142,F151)</f>
        <v>1</v>
      </c>
      <c r="T151" s="711">
        <f>COUNTIF(T$10:T$142,F151)</f>
        <v>1</v>
      </c>
      <c r="U151" s="709">
        <f>COUNTIF(U$10:U$142,F151)</f>
        <v>1</v>
      </c>
      <c r="V151" s="710">
        <f>COUNTIF(V$10:V$142,F151)</f>
        <v>1</v>
      </c>
      <c r="W151" s="710">
        <f>COUNTIF(W$10:W$142,F151)</f>
        <v>1</v>
      </c>
      <c r="X151" s="710">
        <f>COUNTIF(X$10:X$142,F151)</f>
        <v>1</v>
      </c>
      <c r="Y151" s="710">
        <f>COUNTIF(Y$10:Y$142,F151)</f>
        <v>1</v>
      </c>
      <c r="Z151" s="710">
        <f>COUNTIF(Z$10:Z$142,F151)</f>
        <v>1</v>
      </c>
      <c r="AA151" s="711">
        <f>COUNTIF(AA$10:AA$142,F151)</f>
        <v>1</v>
      </c>
      <c r="AB151" s="709">
        <f>COUNTIF(AB$10:AB$142,F151)</f>
        <v>1</v>
      </c>
      <c r="AC151" s="710">
        <f>COUNTIF(AC$10:AC$142,F151)</f>
        <v>1</v>
      </c>
      <c r="AD151" s="710">
        <f>COUNTIF(AD$10:AD$142,F151)</f>
        <v>1</v>
      </c>
      <c r="AE151" s="710">
        <f>COUNTIF(AE$10:AE$142,F151)</f>
        <v>1</v>
      </c>
      <c r="AF151" s="710">
        <f>COUNTIF(AF$10:AF$142,F151)</f>
        <v>1</v>
      </c>
      <c r="AG151" s="710">
        <f>COUNTIF(AG$10:AG$142,F151)</f>
        <v>1</v>
      </c>
      <c r="AH151" s="711">
        <f>COUNTIF(AH$10:AH$142,F151)</f>
        <v>1</v>
      </c>
      <c r="AI151" s="712">
        <f>COUNTIF(AI$10:AI$142,F151)</f>
        <v>1</v>
      </c>
      <c r="AJ151" s="710">
        <f>COUNTIF(AJ$10:AJ$142,F151)</f>
        <v>1</v>
      </c>
      <c r="AK151" s="710">
        <f>COUNTIF(AK$10:AK$142,F151)</f>
        <v>1</v>
      </c>
      <c r="AL151" s="713">
        <f>SUM(G151:AK151)</f>
        <v>31</v>
      </c>
      <c r="AM151" s="714">
        <f>IF(AR197="","",AR197)</f>
        <v>7.5</v>
      </c>
      <c r="AN151" s="1627">
        <f>AL151*AM151</f>
        <v>232.5</v>
      </c>
      <c r="AO151" s="1628"/>
      <c r="AP151" s="707"/>
      <c r="AQ151" s="686"/>
      <c r="AR151" s="686"/>
    </row>
    <row r="152" spans="1:48">
      <c r="A152" s="582"/>
      <c r="B152" s="650" t="s">
        <v>1322</v>
      </c>
      <c r="C152" s="1608" t="str">
        <f t="shared" ref="C152:C175" si="69">CONCATENATE(AC198,"：",AD198,"（",AF198,AH198,AI198,"）",AK198,AM198)</f>
        <v>明：明け（0：00～9：15）7.25ｈ</v>
      </c>
      <c r="D152" s="1609"/>
      <c r="E152" s="1610"/>
      <c r="F152" s="715" t="str">
        <f t="shared" ref="F152:F175" si="70">IF(AC198="","",AC198)</f>
        <v>明</v>
      </c>
      <c r="G152" s="716">
        <f t="shared" ref="G152:G175" si="71">COUNTIF($G$10:$G$142,F152)</f>
        <v>0</v>
      </c>
      <c r="H152" s="717">
        <f t="shared" ref="H152:H175" si="72">COUNTIF($H$10:$H$142,F152)</f>
        <v>1</v>
      </c>
      <c r="I152" s="717">
        <f t="shared" ref="I152:I175" si="73">COUNTIF($I$10:$I$142,F152)</f>
        <v>1</v>
      </c>
      <c r="J152" s="717">
        <f t="shared" ref="J152:J175" si="74">COUNTIF($J$10:$J$142,F152)</f>
        <v>1</v>
      </c>
      <c r="K152" s="717">
        <f t="shared" ref="K152:K175" si="75">COUNTIF($K$10:$K$142,F152)</f>
        <v>1</v>
      </c>
      <c r="L152" s="717">
        <f t="shared" ref="L152:L175" si="76">COUNTIF(L$10:L$142,F152)</f>
        <v>1</v>
      </c>
      <c r="M152" s="718">
        <f t="shared" ref="M152:M175" si="77">COUNTIF(M$10:M$142,F152)</f>
        <v>1</v>
      </c>
      <c r="N152" s="716">
        <f t="shared" ref="N152:N175" si="78">COUNTIF(N$10:N$142,F152)</f>
        <v>1</v>
      </c>
      <c r="O152" s="717">
        <f t="shared" ref="O152:O175" si="79">COUNTIF(O$10:O$142,F152)</f>
        <v>1</v>
      </c>
      <c r="P152" s="717">
        <f t="shared" ref="P152:P175" si="80">COUNTIF(P$10:P$142,F152)</f>
        <v>1</v>
      </c>
      <c r="Q152" s="717">
        <f t="shared" ref="Q152:Q175" si="81">COUNTIF(Q$10:Q$142,F152)</f>
        <v>1</v>
      </c>
      <c r="R152" s="717">
        <f t="shared" ref="R152:R175" si="82">COUNTIF(R$10:R$142,F152)</f>
        <v>1</v>
      </c>
      <c r="S152" s="717">
        <f t="shared" ref="S152:S175" si="83">COUNTIF(S$10:S$142,F152)</f>
        <v>1</v>
      </c>
      <c r="T152" s="718">
        <f t="shared" ref="T152:T175" si="84">COUNTIF(T$10:T$142,F152)</f>
        <v>1</v>
      </c>
      <c r="U152" s="716">
        <f t="shared" ref="U152:U175" si="85">COUNTIF(U$10:U$142,F152)</f>
        <v>1</v>
      </c>
      <c r="V152" s="717">
        <f t="shared" ref="V152:V175" si="86">COUNTIF(V$10:V$142,F152)</f>
        <v>1</v>
      </c>
      <c r="W152" s="717">
        <f t="shared" ref="W152:W175" si="87">COUNTIF(W$10:W$142,F152)</f>
        <v>1</v>
      </c>
      <c r="X152" s="717">
        <f t="shared" ref="X152:X175" si="88">COUNTIF(X$10:X$142,F152)</f>
        <v>1</v>
      </c>
      <c r="Y152" s="717">
        <f t="shared" ref="Y152:Y175" si="89">COUNTIF(Y$10:Y$142,F152)</f>
        <v>1</v>
      </c>
      <c r="Z152" s="717">
        <f t="shared" ref="Z152:Z175" si="90">COUNTIF(Z$10:Z$142,F152)</f>
        <v>1</v>
      </c>
      <c r="AA152" s="718">
        <f t="shared" ref="AA152:AA175" si="91">COUNTIF(AA$10:AA$142,F152)</f>
        <v>1</v>
      </c>
      <c r="AB152" s="716">
        <f t="shared" ref="AB152:AB175" si="92">COUNTIF(AB$10:AB$142,F152)</f>
        <v>1</v>
      </c>
      <c r="AC152" s="717">
        <f t="shared" ref="AC152:AC175" si="93">COUNTIF(AC$10:AC$142,F152)</f>
        <v>1</v>
      </c>
      <c r="AD152" s="717">
        <f t="shared" ref="AD152:AD175" si="94">COUNTIF(AD$10:AD$142,F152)</f>
        <v>1</v>
      </c>
      <c r="AE152" s="717">
        <f t="shared" ref="AE152:AE175" si="95">COUNTIF(AE$10:AE$142,F152)</f>
        <v>1</v>
      </c>
      <c r="AF152" s="717">
        <f t="shared" ref="AF152:AF175" si="96">COUNTIF(AF$10:AF$142,F152)</f>
        <v>1</v>
      </c>
      <c r="AG152" s="717">
        <f t="shared" ref="AG152:AG175" si="97">COUNTIF(AG$10:AG$142,F152)</f>
        <v>1</v>
      </c>
      <c r="AH152" s="718">
        <f t="shared" ref="AH152:AH175" si="98">COUNTIF(AH$10:AH$142,F152)</f>
        <v>1</v>
      </c>
      <c r="AI152" s="719">
        <f t="shared" ref="AI152:AI175" si="99">COUNTIF(AI$10:AI$142,F152)</f>
        <v>1</v>
      </c>
      <c r="AJ152" s="717">
        <f t="shared" ref="AJ152:AJ175" si="100">COUNTIF(AJ$10:AJ$142,F152)</f>
        <v>1</v>
      </c>
      <c r="AK152" s="717">
        <f t="shared" ref="AK152:AK175" si="101">COUNTIF(AK$10:AK$142,F152)</f>
        <v>1</v>
      </c>
      <c r="AL152" s="720">
        <f t="shared" ref="AL152:AL175" si="102">SUM(G152:AK152)</f>
        <v>30</v>
      </c>
      <c r="AM152" s="721">
        <f t="shared" ref="AM152:AM175" si="103">IF(AR198="","",AR198)</f>
        <v>7.25</v>
      </c>
      <c r="AN152" s="1611">
        <f t="shared" ref="AN152:AN175" si="104">AL152*AM152</f>
        <v>217.5</v>
      </c>
      <c r="AO152" s="1618"/>
      <c r="AP152" s="707"/>
      <c r="AQ152" s="686"/>
      <c r="AR152" s="686"/>
    </row>
    <row r="153" spans="1:48">
      <c r="A153" s="582"/>
      <c r="B153" s="650" t="s">
        <v>1323</v>
      </c>
      <c r="C153" s="1608" t="str">
        <f t="shared" si="69"/>
        <v>①：日勤Ａ（8：40～17：15）7.75ｈ</v>
      </c>
      <c r="D153" s="1609"/>
      <c r="E153" s="1610"/>
      <c r="F153" s="715" t="str">
        <f t="shared" si="70"/>
        <v>①</v>
      </c>
      <c r="G153" s="716">
        <f t="shared" si="71"/>
        <v>0</v>
      </c>
      <c r="H153" s="717">
        <f t="shared" si="72"/>
        <v>0</v>
      </c>
      <c r="I153" s="717">
        <f t="shared" si="73"/>
        <v>0</v>
      </c>
      <c r="J153" s="717">
        <f t="shared" si="74"/>
        <v>1</v>
      </c>
      <c r="K153" s="717">
        <f t="shared" si="75"/>
        <v>2</v>
      </c>
      <c r="L153" s="717">
        <f t="shared" si="76"/>
        <v>3</v>
      </c>
      <c r="M153" s="718">
        <f t="shared" si="77"/>
        <v>3</v>
      </c>
      <c r="N153" s="716">
        <f t="shared" si="78"/>
        <v>3</v>
      </c>
      <c r="O153" s="717">
        <f t="shared" si="79"/>
        <v>3</v>
      </c>
      <c r="P153" s="717">
        <f t="shared" si="80"/>
        <v>3</v>
      </c>
      <c r="Q153" s="717">
        <f t="shared" si="81"/>
        <v>3</v>
      </c>
      <c r="R153" s="717">
        <f t="shared" si="82"/>
        <v>3</v>
      </c>
      <c r="S153" s="717">
        <f t="shared" si="83"/>
        <v>3</v>
      </c>
      <c r="T153" s="718">
        <f t="shared" si="84"/>
        <v>3</v>
      </c>
      <c r="U153" s="716">
        <f t="shared" si="85"/>
        <v>3</v>
      </c>
      <c r="V153" s="717">
        <f t="shared" si="86"/>
        <v>3</v>
      </c>
      <c r="W153" s="717">
        <f t="shared" si="87"/>
        <v>3</v>
      </c>
      <c r="X153" s="717">
        <f t="shared" si="88"/>
        <v>3</v>
      </c>
      <c r="Y153" s="717">
        <f t="shared" si="89"/>
        <v>3</v>
      </c>
      <c r="Z153" s="717">
        <f t="shared" si="90"/>
        <v>3</v>
      </c>
      <c r="AA153" s="718">
        <f t="shared" si="91"/>
        <v>3</v>
      </c>
      <c r="AB153" s="716">
        <f t="shared" si="92"/>
        <v>3</v>
      </c>
      <c r="AC153" s="717">
        <f t="shared" si="93"/>
        <v>3</v>
      </c>
      <c r="AD153" s="717">
        <f t="shared" si="94"/>
        <v>3</v>
      </c>
      <c r="AE153" s="717">
        <f t="shared" si="95"/>
        <v>3</v>
      </c>
      <c r="AF153" s="717">
        <f t="shared" si="96"/>
        <v>3</v>
      </c>
      <c r="AG153" s="717">
        <f t="shared" si="97"/>
        <v>3</v>
      </c>
      <c r="AH153" s="718">
        <f t="shared" si="98"/>
        <v>3</v>
      </c>
      <c r="AI153" s="719">
        <f t="shared" si="99"/>
        <v>3</v>
      </c>
      <c r="AJ153" s="717">
        <f t="shared" si="100"/>
        <v>3</v>
      </c>
      <c r="AK153" s="717">
        <f t="shared" si="101"/>
        <v>3</v>
      </c>
      <c r="AL153" s="720">
        <f t="shared" si="102"/>
        <v>81</v>
      </c>
      <c r="AM153" s="721">
        <f t="shared" si="103"/>
        <v>1.33</v>
      </c>
      <c r="AN153" s="1611">
        <f t="shared" si="104"/>
        <v>107.73</v>
      </c>
      <c r="AO153" s="1612"/>
      <c r="AP153" s="686"/>
      <c r="AQ153" s="686"/>
      <c r="AR153" s="686"/>
    </row>
    <row r="154" spans="1:48">
      <c r="A154" s="582"/>
      <c r="B154" s="650" t="s">
        <v>1324</v>
      </c>
      <c r="C154" s="1608" t="str">
        <f t="shared" si="69"/>
        <v>②：早出（7：10～15：45）7.75ｈ</v>
      </c>
      <c r="D154" s="1609"/>
      <c r="E154" s="1610"/>
      <c r="F154" s="715" t="str">
        <f t="shared" si="70"/>
        <v>②</v>
      </c>
      <c r="G154" s="716">
        <f t="shared" si="71"/>
        <v>0</v>
      </c>
      <c r="H154" s="717">
        <f t="shared" si="72"/>
        <v>0</v>
      </c>
      <c r="I154" s="717">
        <f t="shared" si="73"/>
        <v>0</v>
      </c>
      <c r="J154" s="717">
        <f t="shared" si="74"/>
        <v>0</v>
      </c>
      <c r="K154" s="717">
        <f t="shared" si="75"/>
        <v>0</v>
      </c>
      <c r="L154" s="717">
        <f t="shared" si="76"/>
        <v>0</v>
      </c>
      <c r="M154" s="718">
        <f t="shared" si="77"/>
        <v>0</v>
      </c>
      <c r="N154" s="716">
        <f t="shared" si="78"/>
        <v>0</v>
      </c>
      <c r="O154" s="717">
        <f t="shared" si="79"/>
        <v>0</v>
      </c>
      <c r="P154" s="717">
        <f t="shared" si="80"/>
        <v>0</v>
      </c>
      <c r="Q154" s="717">
        <f t="shared" si="81"/>
        <v>0</v>
      </c>
      <c r="R154" s="717">
        <f t="shared" si="82"/>
        <v>0</v>
      </c>
      <c r="S154" s="717">
        <f t="shared" si="83"/>
        <v>0</v>
      </c>
      <c r="T154" s="718">
        <f t="shared" si="84"/>
        <v>0</v>
      </c>
      <c r="U154" s="716">
        <f t="shared" si="85"/>
        <v>0</v>
      </c>
      <c r="V154" s="717">
        <f t="shared" si="86"/>
        <v>0</v>
      </c>
      <c r="W154" s="717">
        <f t="shared" si="87"/>
        <v>0</v>
      </c>
      <c r="X154" s="717">
        <f t="shared" si="88"/>
        <v>0</v>
      </c>
      <c r="Y154" s="717">
        <f t="shared" si="89"/>
        <v>0</v>
      </c>
      <c r="Z154" s="717">
        <f t="shared" si="90"/>
        <v>0</v>
      </c>
      <c r="AA154" s="718">
        <f t="shared" si="91"/>
        <v>0</v>
      </c>
      <c r="AB154" s="716">
        <f t="shared" si="92"/>
        <v>0</v>
      </c>
      <c r="AC154" s="717">
        <f t="shared" si="93"/>
        <v>0</v>
      </c>
      <c r="AD154" s="717">
        <f t="shared" si="94"/>
        <v>0</v>
      </c>
      <c r="AE154" s="717">
        <f t="shared" si="95"/>
        <v>0</v>
      </c>
      <c r="AF154" s="717">
        <f t="shared" si="96"/>
        <v>0</v>
      </c>
      <c r="AG154" s="717">
        <f t="shared" si="97"/>
        <v>0</v>
      </c>
      <c r="AH154" s="718">
        <f t="shared" si="98"/>
        <v>0</v>
      </c>
      <c r="AI154" s="719">
        <f t="shared" si="99"/>
        <v>0</v>
      </c>
      <c r="AJ154" s="717">
        <f t="shared" si="100"/>
        <v>0</v>
      </c>
      <c r="AK154" s="717">
        <f t="shared" si="101"/>
        <v>0</v>
      </c>
      <c r="AL154" s="720">
        <f t="shared" si="102"/>
        <v>0</v>
      </c>
      <c r="AM154" s="721">
        <f t="shared" si="103"/>
        <v>2.08</v>
      </c>
      <c r="AN154" s="1611">
        <f t="shared" si="104"/>
        <v>0</v>
      </c>
      <c r="AO154" s="1612"/>
      <c r="AP154" s="686"/>
      <c r="AQ154" s="686"/>
      <c r="AR154" s="686"/>
    </row>
    <row r="155" spans="1:48">
      <c r="A155" s="582"/>
      <c r="B155" s="650" t="s">
        <v>1325</v>
      </c>
      <c r="C155" s="1608" t="str">
        <f t="shared" si="69"/>
        <v>③：遅出（11：25～20：00）7.75ｈ</v>
      </c>
      <c r="D155" s="1609"/>
      <c r="E155" s="1610"/>
      <c r="F155" s="715" t="str">
        <f t="shared" si="70"/>
        <v>③</v>
      </c>
      <c r="G155" s="716">
        <f t="shared" si="71"/>
        <v>0</v>
      </c>
      <c r="H155" s="717">
        <f t="shared" si="72"/>
        <v>0</v>
      </c>
      <c r="I155" s="717">
        <f t="shared" si="73"/>
        <v>0</v>
      </c>
      <c r="J155" s="717">
        <f t="shared" si="74"/>
        <v>0</v>
      </c>
      <c r="K155" s="717">
        <f t="shared" si="75"/>
        <v>0</v>
      </c>
      <c r="L155" s="717">
        <f t="shared" si="76"/>
        <v>0</v>
      </c>
      <c r="M155" s="718">
        <f t="shared" si="77"/>
        <v>0</v>
      </c>
      <c r="N155" s="716">
        <f t="shared" si="78"/>
        <v>0</v>
      </c>
      <c r="O155" s="717">
        <f t="shared" si="79"/>
        <v>0</v>
      </c>
      <c r="P155" s="717">
        <f t="shared" si="80"/>
        <v>0</v>
      </c>
      <c r="Q155" s="717">
        <f t="shared" si="81"/>
        <v>0</v>
      </c>
      <c r="R155" s="717">
        <f t="shared" si="82"/>
        <v>0</v>
      </c>
      <c r="S155" s="717">
        <f t="shared" si="83"/>
        <v>0</v>
      </c>
      <c r="T155" s="718">
        <f t="shared" si="84"/>
        <v>0</v>
      </c>
      <c r="U155" s="716">
        <f t="shared" si="85"/>
        <v>0</v>
      </c>
      <c r="V155" s="717">
        <f t="shared" si="86"/>
        <v>0</v>
      </c>
      <c r="W155" s="717">
        <f t="shared" si="87"/>
        <v>0</v>
      </c>
      <c r="X155" s="717">
        <f t="shared" si="88"/>
        <v>0</v>
      </c>
      <c r="Y155" s="717">
        <f t="shared" si="89"/>
        <v>0</v>
      </c>
      <c r="Z155" s="717">
        <f t="shared" si="90"/>
        <v>0</v>
      </c>
      <c r="AA155" s="718">
        <f t="shared" si="91"/>
        <v>0</v>
      </c>
      <c r="AB155" s="716">
        <f t="shared" si="92"/>
        <v>0</v>
      </c>
      <c r="AC155" s="717">
        <f t="shared" si="93"/>
        <v>0</v>
      </c>
      <c r="AD155" s="717">
        <f t="shared" si="94"/>
        <v>0</v>
      </c>
      <c r="AE155" s="717">
        <f t="shared" si="95"/>
        <v>0</v>
      </c>
      <c r="AF155" s="717">
        <f t="shared" si="96"/>
        <v>0</v>
      </c>
      <c r="AG155" s="717">
        <f t="shared" si="97"/>
        <v>0</v>
      </c>
      <c r="AH155" s="718">
        <f t="shared" si="98"/>
        <v>0</v>
      </c>
      <c r="AI155" s="719">
        <f t="shared" si="99"/>
        <v>0</v>
      </c>
      <c r="AJ155" s="717">
        <f t="shared" si="100"/>
        <v>0</v>
      </c>
      <c r="AK155" s="717">
        <f t="shared" si="101"/>
        <v>0</v>
      </c>
      <c r="AL155" s="720">
        <f t="shared" si="102"/>
        <v>0</v>
      </c>
      <c r="AM155" s="721">
        <f t="shared" si="103"/>
        <v>2.5</v>
      </c>
      <c r="AN155" s="1611">
        <f t="shared" si="104"/>
        <v>0</v>
      </c>
      <c r="AO155" s="1612"/>
      <c r="AP155" s="686"/>
      <c r="AQ155" s="686"/>
      <c r="AR155" s="686"/>
    </row>
    <row r="156" spans="1:48">
      <c r="A156" s="582"/>
      <c r="B156" s="650" t="s">
        <v>1326</v>
      </c>
      <c r="C156" s="1608" t="str">
        <f t="shared" si="69"/>
        <v>⑤：午前Ａ（8：40～12：40）4ｈ</v>
      </c>
      <c r="D156" s="1609"/>
      <c r="E156" s="1610"/>
      <c r="F156" s="715" t="str">
        <f t="shared" si="70"/>
        <v>⑤</v>
      </c>
      <c r="G156" s="716">
        <f t="shared" si="71"/>
        <v>0</v>
      </c>
      <c r="H156" s="717">
        <f t="shared" si="72"/>
        <v>0</v>
      </c>
      <c r="I156" s="717">
        <f t="shared" si="73"/>
        <v>0</v>
      </c>
      <c r="J156" s="717">
        <f t="shared" si="74"/>
        <v>0</v>
      </c>
      <c r="K156" s="717">
        <f t="shared" si="75"/>
        <v>0</v>
      </c>
      <c r="L156" s="717">
        <f t="shared" si="76"/>
        <v>0</v>
      </c>
      <c r="M156" s="718">
        <f t="shared" si="77"/>
        <v>0</v>
      </c>
      <c r="N156" s="716">
        <f t="shared" si="78"/>
        <v>0</v>
      </c>
      <c r="O156" s="717">
        <f t="shared" si="79"/>
        <v>0</v>
      </c>
      <c r="P156" s="717">
        <f t="shared" si="80"/>
        <v>0</v>
      </c>
      <c r="Q156" s="717">
        <f t="shared" si="81"/>
        <v>0</v>
      </c>
      <c r="R156" s="717">
        <f t="shared" si="82"/>
        <v>0</v>
      </c>
      <c r="S156" s="717">
        <f t="shared" si="83"/>
        <v>0</v>
      </c>
      <c r="T156" s="718">
        <f t="shared" si="84"/>
        <v>0</v>
      </c>
      <c r="U156" s="716">
        <f t="shared" si="85"/>
        <v>0</v>
      </c>
      <c r="V156" s="717">
        <f t="shared" si="86"/>
        <v>0</v>
      </c>
      <c r="W156" s="717">
        <f t="shared" si="87"/>
        <v>0</v>
      </c>
      <c r="X156" s="717">
        <f t="shared" si="88"/>
        <v>0</v>
      </c>
      <c r="Y156" s="717">
        <f t="shared" si="89"/>
        <v>0</v>
      </c>
      <c r="Z156" s="717">
        <f t="shared" si="90"/>
        <v>0</v>
      </c>
      <c r="AA156" s="718">
        <f t="shared" si="91"/>
        <v>0</v>
      </c>
      <c r="AB156" s="716">
        <f t="shared" si="92"/>
        <v>0</v>
      </c>
      <c r="AC156" s="717">
        <f t="shared" si="93"/>
        <v>0</v>
      </c>
      <c r="AD156" s="717">
        <f t="shared" si="94"/>
        <v>0</v>
      </c>
      <c r="AE156" s="717">
        <f t="shared" si="95"/>
        <v>0</v>
      </c>
      <c r="AF156" s="717">
        <f t="shared" si="96"/>
        <v>0</v>
      </c>
      <c r="AG156" s="717">
        <f t="shared" si="97"/>
        <v>0</v>
      </c>
      <c r="AH156" s="718">
        <f t="shared" si="98"/>
        <v>0</v>
      </c>
      <c r="AI156" s="719">
        <f t="shared" si="99"/>
        <v>0</v>
      </c>
      <c r="AJ156" s="717">
        <f t="shared" si="100"/>
        <v>0</v>
      </c>
      <c r="AK156" s="717">
        <f t="shared" si="101"/>
        <v>0</v>
      </c>
      <c r="AL156" s="720">
        <f t="shared" si="102"/>
        <v>0</v>
      </c>
      <c r="AM156" s="721">
        <f t="shared" si="103"/>
        <v>0.57999999999999996</v>
      </c>
      <c r="AN156" s="1611">
        <f t="shared" si="104"/>
        <v>0</v>
      </c>
      <c r="AO156" s="1612"/>
      <c r="AP156" s="686"/>
      <c r="AQ156" s="686"/>
      <c r="AR156" s="686"/>
    </row>
    <row r="157" spans="1:48">
      <c r="A157" s="582"/>
      <c r="B157" s="650" t="s">
        <v>1327</v>
      </c>
      <c r="C157" s="1608" t="str">
        <f t="shared" si="69"/>
        <v>⑥：午後Ａ（13：30～17：30）4ｈ</v>
      </c>
      <c r="D157" s="1609"/>
      <c r="E157" s="1610"/>
      <c r="F157" s="715" t="str">
        <f t="shared" si="70"/>
        <v>⑥</v>
      </c>
      <c r="G157" s="716">
        <f t="shared" si="71"/>
        <v>0</v>
      </c>
      <c r="H157" s="717">
        <f t="shared" si="72"/>
        <v>0</v>
      </c>
      <c r="I157" s="717">
        <f t="shared" si="73"/>
        <v>0</v>
      </c>
      <c r="J157" s="717">
        <f t="shared" si="74"/>
        <v>0</v>
      </c>
      <c r="K157" s="717">
        <f t="shared" si="75"/>
        <v>0</v>
      </c>
      <c r="L157" s="717">
        <f t="shared" si="76"/>
        <v>0</v>
      </c>
      <c r="M157" s="718">
        <f t="shared" si="77"/>
        <v>0</v>
      </c>
      <c r="N157" s="716">
        <f t="shared" si="78"/>
        <v>0</v>
      </c>
      <c r="O157" s="717">
        <f t="shared" si="79"/>
        <v>0</v>
      </c>
      <c r="P157" s="717">
        <f t="shared" si="80"/>
        <v>0</v>
      </c>
      <c r="Q157" s="717">
        <f t="shared" si="81"/>
        <v>0</v>
      </c>
      <c r="R157" s="717">
        <f t="shared" si="82"/>
        <v>0</v>
      </c>
      <c r="S157" s="717">
        <f t="shared" si="83"/>
        <v>0</v>
      </c>
      <c r="T157" s="718">
        <f t="shared" si="84"/>
        <v>0</v>
      </c>
      <c r="U157" s="716">
        <f t="shared" si="85"/>
        <v>0</v>
      </c>
      <c r="V157" s="717">
        <f t="shared" si="86"/>
        <v>0</v>
      </c>
      <c r="W157" s="717">
        <f t="shared" si="87"/>
        <v>0</v>
      </c>
      <c r="X157" s="717">
        <f t="shared" si="88"/>
        <v>0</v>
      </c>
      <c r="Y157" s="717">
        <f t="shared" si="89"/>
        <v>0</v>
      </c>
      <c r="Z157" s="717">
        <f t="shared" si="90"/>
        <v>0</v>
      </c>
      <c r="AA157" s="718">
        <f t="shared" si="91"/>
        <v>0</v>
      </c>
      <c r="AB157" s="716">
        <f t="shared" si="92"/>
        <v>0</v>
      </c>
      <c r="AC157" s="717">
        <f t="shared" si="93"/>
        <v>0</v>
      </c>
      <c r="AD157" s="717">
        <f t="shared" si="94"/>
        <v>0</v>
      </c>
      <c r="AE157" s="717">
        <f t="shared" si="95"/>
        <v>0</v>
      </c>
      <c r="AF157" s="717">
        <f t="shared" si="96"/>
        <v>0</v>
      </c>
      <c r="AG157" s="717">
        <f t="shared" si="97"/>
        <v>0</v>
      </c>
      <c r="AH157" s="718">
        <f t="shared" si="98"/>
        <v>0</v>
      </c>
      <c r="AI157" s="719">
        <f t="shared" si="99"/>
        <v>0</v>
      </c>
      <c r="AJ157" s="717">
        <f t="shared" si="100"/>
        <v>0</v>
      </c>
      <c r="AK157" s="717">
        <f t="shared" si="101"/>
        <v>0</v>
      </c>
      <c r="AL157" s="720">
        <f t="shared" si="102"/>
        <v>0</v>
      </c>
      <c r="AM157" s="721">
        <f t="shared" si="103"/>
        <v>1</v>
      </c>
      <c r="AN157" s="1611">
        <f t="shared" si="104"/>
        <v>0</v>
      </c>
      <c r="AO157" s="1612"/>
      <c r="AP157" s="686"/>
      <c r="AQ157" s="686"/>
      <c r="AR157" s="686"/>
    </row>
    <row r="158" spans="1:48">
      <c r="A158" s="582"/>
      <c r="B158" s="650" t="s">
        <v>1328</v>
      </c>
      <c r="C158" s="1608" t="str">
        <f t="shared" si="69"/>
        <v>⑦：日勤Ｂ（9：00～17：00）7ｈ</v>
      </c>
      <c r="D158" s="1609"/>
      <c r="E158" s="1610"/>
      <c r="F158" s="715" t="str">
        <f t="shared" si="70"/>
        <v>⑦</v>
      </c>
      <c r="G158" s="716">
        <f t="shared" si="71"/>
        <v>0</v>
      </c>
      <c r="H158" s="717">
        <f t="shared" si="72"/>
        <v>0</v>
      </c>
      <c r="I158" s="717">
        <f t="shared" si="73"/>
        <v>0</v>
      </c>
      <c r="J158" s="717">
        <f t="shared" si="74"/>
        <v>0</v>
      </c>
      <c r="K158" s="717">
        <f t="shared" si="75"/>
        <v>0</v>
      </c>
      <c r="L158" s="717">
        <f t="shared" si="76"/>
        <v>0</v>
      </c>
      <c r="M158" s="718">
        <f t="shared" si="77"/>
        <v>0</v>
      </c>
      <c r="N158" s="716">
        <f t="shared" si="78"/>
        <v>0</v>
      </c>
      <c r="O158" s="717">
        <f t="shared" si="79"/>
        <v>0</v>
      </c>
      <c r="P158" s="717">
        <f t="shared" si="80"/>
        <v>0</v>
      </c>
      <c r="Q158" s="717">
        <f t="shared" si="81"/>
        <v>0</v>
      </c>
      <c r="R158" s="717">
        <f t="shared" si="82"/>
        <v>0</v>
      </c>
      <c r="S158" s="717">
        <f t="shared" si="83"/>
        <v>0</v>
      </c>
      <c r="T158" s="718">
        <f t="shared" si="84"/>
        <v>0</v>
      </c>
      <c r="U158" s="716">
        <f t="shared" si="85"/>
        <v>0</v>
      </c>
      <c r="V158" s="717">
        <f t="shared" si="86"/>
        <v>0</v>
      </c>
      <c r="W158" s="717">
        <f t="shared" si="87"/>
        <v>0</v>
      </c>
      <c r="X158" s="717">
        <f t="shared" si="88"/>
        <v>0</v>
      </c>
      <c r="Y158" s="717">
        <f t="shared" si="89"/>
        <v>0</v>
      </c>
      <c r="Z158" s="717">
        <f t="shared" si="90"/>
        <v>0</v>
      </c>
      <c r="AA158" s="718">
        <f t="shared" si="91"/>
        <v>0</v>
      </c>
      <c r="AB158" s="716">
        <f t="shared" si="92"/>
        <v>0</v>
      </c>
      <c r="AC158" s="717">
        <f t="shared" si="93"/>
        <v>0</v>
      </c>
      <c r="AD158" s="717">
        <f t="shared" si="94"/>
        <v>0</v>
      </c>
      <c r="AE158" s="717">
        <f t="shared" si="95"/>
        <v>0</v>
      </c>
      <c r="AF158" s="717">
        <f t="shared" si="96"/>
        <v>0</v>
      </c>
      <c r="AG158" s="717">
        <f t="shared" si="97"/>
        <v>0</v>
      </c>
      <c r="AH158" s="718">
        <f t="shared" si="98"/>
        <v>0</v>
      </c>
      <c r="AI158" s="719">
        <f t="shared" si="99"/>
        <v>0</v>
      </c>
      <c r="AJ158" s="717">
        <f t="shared" si="100"/>
        <v>0</v>
      </c>
      <c r="AK158" s="717">
        <f t="shared" si="101"/>
        <v>0</v>
      </c>
      <c r="AL158" s="720">
        <f t="shared" si="102"/>
        <v>0</v>
      </c>
      <c r="AM158" s="721">
        <f t="shared" si="103"/>
        <v>0.75</v>
      </c>
      <c r="AN158" s="1611">
        <f t="shared" si="104"/>
        <v>0</v>
      </c>
      <c r="AO158" s="1612"/>
      <c r="AP158" s="686"/>
      <c r="AQ158" s="686"/>
      <c r="AR158" s="686"/>
    </row>
    <row r="159" spans="1:48">
      <c r="A159" s="582"/>
      <c r="B159" s="650" t="s">
        <v>1329</v>
      </c>
      <c r="C159" s="1608" t="str">
        <f t="shared" si="69"/>
        <v>⑧：午前Ｂ（9：00～13：00）4ｈ</v>
      </c>
      <c r="D159" s="1609"/>
      <c r="E159" s="1610"/>
      <c r="F159" s="715" t="str">
        <f t="shared" si="70"/>
        <v>⑧</v>
      </c>
      <c r="G159" s="716">
        <f t="shared" si="71"/>
        <v>0</v>
      </c>
      <c r="H159" s="717">
        <f t="shared" si="72"/>
        <v>0</v>
      </c>
      <c r="I159" s="717">
        <f t="shared" si="73"/>
        <v>0</v>
      </c>
      <c r="J159" s="717">
        <f t="shared" si="74"/>
        <v>0</v>
      </c>
      <c r="K159" s="717">
        <f t="shared" si="75"/>
        <v>0</v>
      </c>
      <c r="L159" s="717">
        <f t="shared" si="76"/>
        <v>0</v>
      </c>
      <c r="M159" s="718">
        <f t="shared" si="77"/>
        <v>0</v>
      </c>
      <c r="N159" s="716">
        <f t="shared" si="78"/>
        <v>0</v>
      </c>
      <c r="O159" s="717">
        <f t="shared" si="79"/>
        <v>0</v>
      </c>
      <c r="P159" s="717">
        <f t="shared" si="80"/>
        <v>0</v>
      </c>
      <c r="Q159" s="717">
        <f t="shared" si="81"/>
        <v>0</v>
      </c>
      <c r="R159" s="717">
        <f t="shared" si="82"/>
        <v>0</v>
      </c>
      <c r="S159" s="717">
        <f t="shared" si="83"/>
        <v>0</v>
      </c>
      <c r="T159" s="718">
        <f t="shared" si="84"/>
        <v>0</v>
      </c>
      <c r="U159" s="716">
        <f t="shared" si="85"/>
        <v>0</v>
      </c>
      <c r="V159" s="717">
        <f t="shared" si="86"/>
        <v>0</v>
      </c>
      <c r="W159" s="717">
        <f t="shared" si="87"/>
        <v>0</v>
      </c>
      <c r="X159" s="717">
        <f t="shared" si="88"/>
        <v>0</v>
      </c>
      <c r="Y159" s="717">
        <f t="shared" si="89"/>
        <v>0</v>
      </c>
      <c r="Z159" s="717">
        <f t="shared" si="90"/>
        <v>0</v>
      </c>
      <c r="AA159" s="718">
        <f t="shared" si="91"/>
        <v>0</v>
      </c>
      <c r="AB159" s="716">
        <f t="shared" si="92"/>
        <v>0</v>
      </c>
      <c r="AC159" s="717">
        <f t="shared" si="93"/>
        <v>0</v>
      </c>
      <c r="AD159" s="717">
        <f t="shared" si="94"/>
        <v>0</v>
      </c>
      <c r="AE159" s="717">
        <f t="shared" si="95"/>
        <v>0</v>
      </c>
      <c r="AF159" s="717">
        <f t="shared" si="96"/>
        <v>0</v>
      </c>
      <c r="AG159" s="717">
        <f t="shared" si="97"/>
        <v>0</v>
      </c>
      <c r="AH159" s="718">
        <f t="shared" si="98"/>
        <v>0</v>
      </c>
      <c r="AI159" s="719">
        <f t="shared" si="99"/>
        <v>0</v>
      </c>
      <c r="AJ159" s="717">
        <f t="shared" si="100"/>
        <v>0</v>
      </c>
      <c r="AK159" s="717">
        <f t="shared" si="101"/>
        <v>0</v>
      </c>
      <c r="AL159" s="720">
        <f t="shared" si="102"/>
        <v>0</v>
      </c>
      <c r="AM159" s="721">
        <f t="shared" si="103"/>
        <v>0.25</v>
      </c>
      <c r="AN159" s="1611">
        <f t="shared" si="104"/>
        <v>0</v>
      </c>
      <c r="AO159" s="1612"/>
      <c r="AP159" s="686"/>
      <c r="AQ159" s="686"/>
      <c r="AR159" s="686"/>
    </row>
    <row r="160" spans="1:48">
      <c r="A160" s="582"/>
      <c r="B160" s="650" t="s">
        <v>1330</v>
      </c>
      <c r="C160" s="1608" t="str">
        <f t="shared" si="69"/>
        <v>⑨：午後Ｂ（13：00～17：00）4ｈ</v>
      </c>
      <c r="D160" s="1609"/>
      <c r="E160" s="1610"/>
      <c r="F160" s="715" t="str">
        <f t="shared" si="70"/>
        <v>⑨</v>
      </c>
      <c r="G160" s="716">
        <f t="shared" si="71"/>
        <v>0</v>
      </c>
      <c r="H160" s="717">
        <f t="shared" si="72"/>
        <v>0</v>
      </c>
      <c r="I160" s="717">
        <f t="shared" si="73"/>
        <v>0</v>
      </c>
      <c r="J160" s="717">
        <f t="shared" si="74"/>
        <v>0</v>
      </c>
      <c r="K160" s="717">
        <f t="shared" si="75"/>
        <v>0</v>
      </c>
      <c r="L160" s="717">
        <f t="shared" si="76"/>
        <v>0</v>
      </c>
      <c r="M160" s="718">
        <f t="shared" si="77"/>
        <v>0</v>
      </c>
      <c r="N160" s="716">
        <f t="shared" si="78"/>
        <v>0</v>
      </c>
      <c r="O160" s="717">
        <f t="shared" si="79"/>
        <v>0</v>
      </c>
      <c r="P160" s="717">
        <f t="shared" si="80"/>
        <v>0</v>
      </c>
      <c r="Q160" s="717">
        <f t="shared" si="81"/>
        <v>0</v>
      </c>
      <c r="R160" s="717">
        <f t="shared" si="82"/>
        <v>0</v>
      </c>
      <c r="S160" s="717">
        <f t="shared" si="83"/>
        <v>0</v>
      </c>
      <c r="T160" s="718">
        <f t="shared" si="84"/>
        <v>0</v>
      </c>
      <c r="U160" s="716">
        <f t="shared" si="85"/>
        <v>0</v>
      </c>
      <c r="V160" s="717">
        <f t="shared" si="86"/>
        <v>0</v>
      </c>
      <c r="W160" s="717">
        <f t="shared" si="87"/>
        <v>0</v>
      </c>
      <c r="X160" s="717">
        <f t="shared" si="88"/>
        <v>0</v>
      </c>
      <c r="Y160" s="717">
        <f t="shared" si="89"/>
        <v>0</v>
      </c>
      <c r="Z160" s="717">
        <f t="shared" si="90"/>
        <v>0</v>
      </c>
      <c r="AA160" s="718">
        <f t="shared" si="91"/>
        <v>0</v>
      </c>
      <c r="AB160" s="716">
        <f t="shared" si="92"/>
        <v>0</v>
      </c>
      <c r="AC160" s="717">
        <f t="shared" si="93"/>
        <v>0</v>
      </c>
      <c r="AD160" s="717">
        <f t="shared" si="94"/>
        <v>0</v>
      </c>
      <c r="AE160" s="717">
        <f t="shared" si="95"/>
        <v>0</v>
      </c>
      <c r="AF160" s="717">
        <f t="shared" si="96"/>
        <v>0</v>
      </c>
      <c r="AG160" s="717">
        <f t="shared" si="97"/>
        <v>0</v>
      </c>
      <c r="AH160" s="718">
        <f t="shared" si="98"/>
        <v>0</v>
      </c>
      <c r="AI160" s="719">
        <f t="shared" si="99"/>
        <v>0</v>
      </c>
      <c r="AJ160" s="717">
        <f t="shared" si="100"/>
        <v>0</v>
      </c>
      <c r="AK160" s="717">
        <f t="shared" si="101"/>
        <v>0</v>
      </c>
      <c r="AL160" s="720">
        <f t="shared" si="102"/>
        <v>0</v>
      </c>
      <c r="AM160" s="721">
        <f t="shared" si="103"/>
        <v>0.5</v>
      </c>
      <c r="AN160" s="1611">
        <f t="shared" si="104"/>
        <v>0</v>
      </c>
      <c r="AO160" s="1612"/>
      <c r="AP160" s="686"/>
      <c r="AQ160" s="686"/>
      <c r="AR160" s="686"/>
    </row>
    <row r="161" spans="1:44">
      <c r="A161" s="582"/>
      <c r="B161" s="650" t="s">
        <v>1331</v>
      </c>
      <c r="C161" s="1608" t="str">
        <f t="shared" si="69"/>
        <v>⑩：午後Ｃ（11：25～15：25）4ｈ</v>
      </c>
      <c r="D161" s="1609"/>
      <c r="E161" s="1610"/>
      <c r="F161" s="715" t="str">
        <f t="shared" si="70"/>
        <v>⑩</v>
      </c>
      <c r="G161" s="716">
        <f t="shared" si="71"/>
        <v>0</v>
      </c>
      <c r="H161" s="717">
        <f t="shared" si="72"/>
        <v>0</v>
      </c>
      <c r="I161" s="717">
        <f t="shared" si="73"/>
        <v>0</v>
      </c>
      <c r="J161" s="717">
        <f t="shared" si="74"/>
        <v>0</v>
      </c>
      <c r="K161" s="717">
        <f t="shared" si="75"/>
        <v>0</v>
      </c>
      <c r="L161" s="717">
        <f t="shared" si="76"/>
        <v>0</v>
      </c>
      <c r="M161" s="718">
        <f t="shared" si="77"/>
        <v>0</v>
      </c>
      <c r="N161" s="716">
        <f t="shared" si="78"/>
        <v>0</v>
      </c>
      <c r="O161" s="717">
        <f t="shared" si="79"/>
        <v>0</v>
      </c>
      <c r="P161" s="717">
        <f t="shared" si="80"/>
        <v>0</v>
      </c>
      <c r="Q161" s="717">
        <f t="shared" si="81"/>
        <v>0</v>
      </c>
      <c r="R161" s="717">
        <f t="shared" si="82"/>
        <v>0</v>
      </c>
      <c r="S161" s="717">
        <f t="shared" si="83"/>
        <v>0</v>
      </c>
      <c r="T161" s="718">
        <f t="shared" si="84"/>
        <v>0</v>
      </c>
      <c r="U161" s="716">
        <f t="shared" si="85"/>
        <v>0</v>
      </c>
      <c r="V161" s="717">
        <f t="shared" si="86"/>
        <v>0</v>
      </c>
      <c r="W161" s="717">
        <f t="shared" si="87"/>
        <v>0</v>
      </c>
      <c r="X161" s="717">
        <f t="shared" si="88"/>
        <v>0</v>
      </c>
      <c r="Y161" s="717">
        <f t="shared" si="89"/>
        <v>0</v>
      </c>
      <c r="Z161" s="717">
        <f t="shared" si="90"/>
        <v>0</v>
      </c>
      <c r="AA161" s="718">
        <f t="shared" si="91"/>
        <v>0</v>
      </c>
      <c r="AB161" s="716">
        <f t="shared" si="92"/>
        <v>0</v>
      </c>
      <c r="AC161" s="717">
        <f t="shared" si="93"/>
        <v>0</v>
      </c>
      <c r="AD161" s="717">
        <f t="shared" si="94"/>
        <v>0</v>
      </c>
      <c r="AE161" s="717">
        <f t="shared" si="95"/>
        <v>0</v>
      </c>
      <c r="AF161" s="717">
        <f t="shared" si="96"/>
        <v>0</v>
      </c>
      <c r="AG161" s="717">
        <f t="shared" si="97"/>
        <v>0</v>
      </c>
      <c r="AH161" s="718">
        <f t="shared" si="98"/>
        <v>0</v>
      </c>
      <c r="AI161" s="719">
        <f t="shared" si="99"/>
        <v>0</v>
      </c>
      <c r="AJ161" s="717">
        <f t="shared" si="100"/>
        <v>0</v>
      </c>
      <c r="AK161" s="717">
        <f t="shared" si="101"/>
        <v>0</v>
      </c>
      <c r="AL161" s="720">
        <f t="shared" si="102"/>
        <v>0</v>
      </c>
      <c r="AM161" s="721">
        <f t="shared" si="103"/>
        <v>0</v>
      </c>
      <c r="AN161" s="1611">
        <f t="shared" si="104"/>
        <v>0</v>
      </c>
      <c r="AO161" s="1612"/>
      <c r="AP161" s="686"/>
      <c r="AQ161" s="686"/>
      <c r="AR161" s="686"/>
    </row>
    <row r="162" spans="1:44">
      <c r="A162" s="582"/>
      <c r="B162" s="650" t="s">
        <v>1332</v>
      </c>
      <c r="C162" s="1608" t="str">
        <f t="shared" si="69"/>
        <v>⑪：午後Ｄ（16：00～20：00）4ｈ</v>
      </c>
      <c r="D162" s="1609"/>
      <c r="E162" s="1610"/>
      <c r="F162" s="715" t="str">
        <f t="shared" si="70"/>
        <v>⑪</v>
      </c>
      <c r="G162" s="716">
        <f t="shared" si="71"/>
        <v>0</v>
      </c>
      <c r="H162" s="717">
        <f t="shared" si="72"/>
        <v>0</v>
      </c>
      <c r="I162" s="717">
        <f t="shared" si="73"/>
        <v>0</v>
      </c>
      <c r="J162" s="717">
        <f t="shared" si="74"/>
        <v>0</v>
      </c>
      <c r="K162" s="717">
        <f t="shared" si="75"/>
        <v>0</v>
      </c>
      <c r="L162" s="717">
        <f t="shared" si="76"/>
        <v>0</v>
      </c>
      <c r="M162" s="718">
        <f t="shared" si="77"/>
        <v>0</v>
      </c>
      <c r="N162" s="716">
        <f t="shared" si="78"/>
        <v>0</v>
      </c>
      <c r="O162" s="717">
        <f t="shared" si="79"/>
        <v>0</v>
      </c>
      <c r="P162" s="717">
        <f t="shared" si="80"/>
        <v>0</v>
      </c>
      <c r="Q162" s="717">
        <f t="shared" si="81"/>
        <v>0</v>
      </c>
      <c r="R162" s="717">
        <f t="shared" si="82"/>
        <v>0</v>
      </c>
      <c r="S162" s="717">
        <f t="shared" si="83"/>
        <v>0</v>
      </c>
      <c r="T162" s="718">
        <f t="shared" si="84"/>
        <v>0</v>
      </c>
      <c r="U162" s="716">
        <f t="shared" si="85"/>
        <v>0</v>
      </c>
      <c r="V162" s="717">
        <f t="shared" si="86"/>
        <v>0</v>
      </c>
      <c r="W162" s="717">
        <f t="shared" si="87"/>
        <v>0</v>
      </c>
      <c r="X162" s="717">
        <f t="shared" si="88"/>
        <v>0</v>
      </c>
      <c r="Y162" s="717">
        <f t="shared" si="89"/>
        <v>0</v>
      </c>
      <c r="Z162" s="717">
        <f t="shared" si="90"/>
        <v>0</v>
      </c>
      <c r="AA162" s="718">
        <f t="shared" si="91"/>
        <v>0</v>
      </c>
      <c r="AB162" s="716">
        <f t="shared" si="92"/>
        <v>0</v>
      </c>
      <c r="AC162" s="717">
        <f t="shared" si="93"/>
        <v>0</v>
      </c>
      <c r="AD162" s="717">
        <f t="shared" si="94"/>
        <v>0</v>
      </c>
      <c r="AE162" s="717">
        <f t="shared" si="95"/>
        <v>0</v>
      </c>
      <c r="AF162" s="717">
        <f t="shared" si="96"/>
        <v>0</v>
      </c>
      <c r="AG162" s="717">
        <f t="shared" si="97"/>
        <v>0</v>
      </c>
      <c r="AH162" s="718">
        <f t="shared" si="98"/>
        <v>0</v>
      </c>
      <c r="AI162" s="719">
        <f t="shared" si="99"/>
        <v>0</v>
      </c>
      <c r="AJ162" s="717">
        <f t="shared" si="100"/>
        <v>0</v>
      </c>
      <c r="AK162" s="717">
        <f t="shared" si="101"/>
        <v>0</v>
      </c>
      <c r="AL162" s="720">
        <f t="shared" si="102"/>
        <v>0</v>
      </c>
      <c r="AM162" s="721">
        <f t="shared" si="103"/>
        <v>3.5</v>
      </c>
      <c r="AN162" s="1611">
        <f t="shared" si="104"/>
        <v>0</v>
      </c>
      <c r="AO162" s="1612"/>
      <c r="AP162" s="686"/>
      <c r="AQ162" s="686"/>
      <c r="AR162" s="686"/>
    </row>
    <row r="163" spans="1:44">
      <c r="A163" s="582"/>
      <c r="B163" s="650" t="s">
        <v>1333</v>
      </c>
      <c r="C163" s="1608" t="str">
        <f t="shared" si="69"/>
        <v>⑱：日勤Ｃ（8：40～17：00）7.5ｈ</v>
      </c>
      <c r="D163" s="1609"/>
      <c r="E163" s="1610"/>
      <c r="F163" s="715" t="str">
        <f t="shared" si="70"/>
        <v>⑱</v>
      </c>
      <c r="G163" s="716">
        <f t="shared" si="71"/>
        <v>0</v>
      </c>
      <c r="H163" s="717">
        <f t="shared" si="72"/>
        <v>0</v>
      </c>
      <c r="I163" s="717">
        <f t="shared" si="73"/>
        <v>0</v>
      </c>
      <c r="J163" s="717">
        <f t="shared" si="74"/>
        <v>0</v>
      </c>
      <c r="K163" s="717">
        <f t="shared" si="75"/>
        <v>0</v>
      </c>
      <c r="L163" s="717">
        <f t="shared" si="76"/>
        <v>0</v>
      </c>
      <c r="M163" s="718">
        <f t="shared" si="77"/>
        <v>0</v>
      </c>
      <c r="N163" s="716">
        <f t="shared" si="78"/>
        <v>0</v>
      </c>
      <c r="O163" s="717">
        <f t="shared" si="79"/>
        <v>0</v>
      </c>
      <c r="P163" s="717">
        <f t="shared" si="80"/>
        <v>0</v>
      </c>
      <c r="Q163" s="717">
        <f t="shared" si="81"/>
        <v>0</v>
      </c>
      <c r="R163" s="717">
        <f t="shared" si="82"/>
        <v>0</v>
      </c>
      <c r="S163" s="717">
        <f t="shared" si="83"/>
        <v>0</v>
      </c>
      <c r="T163" s="718">
        <f t="shared" si="84"/>
        <v>0</v>
      </c>
      <c r="U163" s="716">
        <f t="shared" si="85"/>
        <v>0</v>
      </c>
      <c r="V163" s="717">
        <f t="shared" si="86"/>
        <v>0</v>
      </c>
      <c r="W163" s="717">
        <f t="shared" si="87"/>
        <v>0</v>
      </c>
      <c r="X163" s="717">
        <f t="shared" si="88"/>
        <v>0</v>
      </c>
      <c r="Y163" s="717">
        <f t="shared" si="89"/>
        <v>0</v>
      </c>
      <c r="Z163" s="717">
        <f t="shared" si="90"/>
        <v>0</v>
      </c>
      <c r="AA163" s="718">
        <f t="shared" si="91"/>
        <v>0</v>
      </c>
      <c r="AB163" s="716">
        <f t="shared" si="92"/>
        <v>0</v>
      </c>
      <c r="AC163" s="717">
        <f t="shared" si="93"/>
        <v>0</v>
      </c>
      <c r="AD163" s="717">
        <f t="shared" si="94"/>
        <v>0</v>
      </c>
      <c r="AE163" s="717">
        <f t="shared" si="95"/>
        <v>0</v>
      </c>
      <c r="AF163" s="717">
        <f t="shared" si="96"/>
        <v>0</v>
      </c>
      <c r="AG163" s="717">
        <f t="shared" si="97"/>
        <v>0</v>
      </c>
      <c r="AH163" s="718">
        <f t="shared" si="98"/>
        <v>0</v>
      </c>
      <c r="AI163" s="719">
        <f t="shared" si="99"/>
        <v>0</v>
      </c>
      <c r="AJ163" s="717">
        <f t="shared" si="100"/>
        <v>0</v>
      </c>
      <c r="AK163" s="717">
        <f t="shared" si="101"/>
        <v>0</v>
      </c>
      <c r="AL163" s="720">
        <f t="shared" si="102"/>
        <v>0</v>
      </c>
      <c r="AM163" s="721">
        <f t="shared" si="103"/>
        <v>1.08</v>
      </c>
      <c r="AN163" s="1611">
        <f t="shared" si="104"/>
        <v>0</v>
      </c>
      <c r="AO163" s="1612"/>
      <c r="AP163" s="686"/>
      <c r="AQ163" s="686"/>
      <c r="AR163" s="686"/>
    </row>
    <row r="164" spans="1:44">
      <c r="A164" s="582"/>
      <c r="B164" s="650" t="s">
        <v>1334</v>
      </c>
      <c r="C164" s="1608" t="str">
        <f t="shared" si="69"/>
        <v>⑲：午前Ｃ（9：00～13：00）4ｈ</v>
      </c>
      <c r="D164" s="1609"/>
      <c r="E164" s="1610"/>
      <c r="F164" s="715" t="str">
        <f t="shared" si="70"/>
        <v>⑲</v>
      </c>
      <c r="G164" s="716">
        <f t="shared" si="71"/>
        <v>0</v>
      </c>
      <c r="H164" s="717">
        <f t="shared" si="72"/>
        <v>0</v>
      </c>
      <c r="I164" s="717">
        <f t="shared" si="73"/>
        <v>0</v>
      </c>
      <c r="J164" s="717">
        <f t="shared" si="74"/>
        <v>0</v>
      </c>
      <c r="K164" s="717">
        <f t="shared" si="75"/>
        <v>0</v>
      </c>
      <c r="L164" s="717">
        <f t="shared" si="76"/>
        <v>0</v>
      </c>
      <c r="M164" s="718">
        <f t="shared" si="77"/>
        <v>0</v>
      </c>
      <c r="N164" s="716">
        <f t="shared" si="78"/>
        <v>0</v>
      </c>
      <c r="O164" s="717">
        <f t="shared" si="79"/>
        <v>0</v>
      </c>
      <c r="P164" s="717">
        <f t="shared" si="80"/>
        <v>0</v>
      </c>
      <c r="Q164" s="717">
        <f t="shared" si="81"/>
        <v>0</v>
      </c>
      <c r="R164" s="717">
        <f t="shared" si="82"/>
        <v>0</v>
      </c>
      <c r="S164" s="717">
        <f t="shared" si="83"/>
        <v>0</v>
      </c>
      <c r="T164" s="718">
        <f t="shared" si="84"/>
        <v>0</v>
      </c>
      <c r="U164" s="716">
        <f t="shared" si="85"/>
        <v>0</v>
      </c>
      <c r="V164" s="717">
        <f t="shared" si="86"/>
        <v>0</v>
      </c>
      <c r="W164" s="717">
        <f t="shared" si="87"/>
        <v>0</v>
      </c>
      <c r="X164" s="717">
        <f t="shared" si="88"/>
        <v>0</v>
      </c>
      <c r="Y164" s="717">
        <f t="shared" si="89"/>
        <v>0</v>
      </c>
      <c r="Z164" s="717">
        <f t="shared" si="90"/>
        <v>0</v>
      </c>
      <c r="AA164" s="718">
        <f t="shared" si="91"/>
        <v>0</v>
      </c>
      <c r="AB164" s="716">
        <f t="shared" si="92"/>
        <v>0</v>
      </c>
      <c r="AC164" s="717">
        <f t="shared" si="93"/>
        <v>0</v>
      </c>
      <c r="AD164" s="717">
        <f t="shared" si="94"/>
        <v>0</v>
      </c>
      <c r="AE164" s="717">
        <f t="shared" si="95"/>
        <v>0</v>
      </c>
      <c r="AF164" s="717">
        <f t="shared" si="96"/>
        <v>0</v>
      </c>
      <c r="AG164" s="717">
        <f t="shared" si="97"/>
        <v>0</v>
      </c>
      <c r="AH164" s="718">
        <f t="shared" si="98"/>
        <v>0</v>
      </c>
      <c r="AI164" s="719">
        <f t="shared" si="99"/>
        <v>0</v>
      </c>
      <c r="AJ164" s="717">
        <f t="shared" si="100"/>
        <v>0</v>
      </c>
      <c r="AK164" s="717">
        <f t="shared" si="101"/>
        <v>0</v>
      </c>
      <c r="AL164" s="720">
        <f t="shared" si="102"/>
        <v>0</v>
      </c>
      <c r="AM164" s="721">
        <f t="shared" si="103"/>
        <v>0.25</v>
      </c>
      <c r="AN164" s="1611">
        <f t="shared" si="104"/>
        <v>0</v>
      </c>
      <c r="AO164" s="1612"/>
      <c r="AP164" s="686"/>
      <c r="AQ164" s="686"/>
      <c r="AR164" s="686"/>
    </row>
    <row r="165" spans="1:44">
      <c r="A165" s="582"/>
      <c r="B165" s="650" t="s">
        <v>1335</v>
      </c>
      <c r="C165" s="1608" t="str">
        <f t="shared" si="69"/>
        <v>⑳：午前Ｄ（7：10～11：10）4ｈ</v>
      </c>
      <c r="D165" s="1609"/>
      <c r="E165" s="1610"/>
      <c r="F165" s="715" t="str">
        <f t="shared" si="70"/>
        <v>⑳</v>
      </c>
      <c r="G165" s="716">
        <f t="shared" si="71"/>
        <v>0</v>
      </c>
      <c r="H165" s="717">
        <f t="shared" si="72"/>
        <v>0</v>
      </c>
      <c r="I165" s="717">
        <f t="shared" si="73"/>
        <v>0</v>
      </c>
      <c r="J165" s="717">
        <f t="shared" si="74"/>
        <v>0</v>
      </c>
      <c r="K165" s="717">
        <f t="shared" si="75"/>
        <v>0</v>
      </c>
      <c r="L165" s="717">
        <f t="shared" si="76"/>
        <v>0</v>
      </c>
      <c r="M165" s="718">
        <f t="shared" si="77"/>
        <v>0</v>
      </c>
      <c r="N165" s="716">
        <f t="shared" si="78"/>
        <v>0</v>
      </c>
      <c r="O165" s="717">
        <f t="shared" si="79"/>
        <v>0</v>
      </c>
      <c r="P165" s="717">
        <f t="shared" si="80"/>
        <v>0</v>
      </c>
      <c r="Q165" s="717">
        <f t="shared" si="81"/>
        <v>0</v>
      </c>
      <c r="R165" s="717">
        <f t="shared" si="82"/>
        <v>0</v>
      </c>
      <c r="S165" s="717">
        <f t="shared" si="83"/>
        <v>0</v>
      </c>
      <c r="T165" s="718">
        <f t="shared" si="84"/>
        <v>0</v>
      </c>
      <c r="U165" s="716">
        <f t="shared" si="85"/>
        <v>0</v>
      </c>
      <c r="V165" s="717">
        <f t="shared" si="86"/>
        <v>0</v>
      </c>
      <c r="W165" s="717">
        <f t="shared" si="87"/>
        <v>0</v>
      </c>
      <c r="X165" s="717">
        <f t="shared" si="88"/>
        <v>0</v>
      </c>
      <c r="Y165" s="717">
        <f t="shared" si="89"/>
        <v>0</v>
      </c>
      <c r="Z165" s="717">
        <f t="shared" si="90"/>
        <v>0</v>
      </c>
      <c r="AA165" s="718">
        <f t="shared" si="91"/>
        <v>0</v>
      </c>
      <c r="AB165" s="716">
        <f t="shared" si="92"/>
        <v>0</v>
      </c>
      <c r="AC165" s="717">
        <f t="shared" si="93"/>
        <v>0</v>
      </c>
      <c r="AD165" s="717">
        <f t="shared" si="94"/>
        <v>0</v>
      </c>
      <c r="AE165" s="717">
        <f t="shared" si="95"/>
        <v>0</v>
      </c>
      <c r="AF165" s="717">
        <f t="shared" si="96"/>
        <v>0</v>
      </c>
      <c r="AG165" s="717">
        <f t="shared" si="97"/>
        <v>0</v>
      </c>
      <c r="AH165" s="718">
        <f t="shared" si="98"/>
        <v>0</v>
      </c>
      <c r="AI165" s="719">
        <f t="shared" si="99"/>
        <v>0</v>
      </c>
      <c r="AJ165" s="717">
        <f t="shared" si="100"/>
        <v>0</v>
      </c>
      <c r="AK165" s="717">
        <f t="shared" si="101"/>
        <v>0</v>
      </c>
      <c r="AL165" s="720">
        <f t="shared" si="102"/>
        <v>0</v>
      </c>
      <c r="AM165" s="721">
        <f t="shared" si="103"/>
        <v>2.08</v>
      </c>
      <c r="AN165" s="1611">
        <f t="shared" si="104"/>
        <v>0</v>
      </c>
      <c r="AO165" s="1612"/>
      <c r="AP165" s="686"/>
      <c r="AQ165" s="686"/>
      <c r="AR165" s="686"/>
    </row>
    <row r="166" spans="1:44">
      <c r="A166" s="582"/>
      <c r="B166" s="650" t="s">
        <v>1336</v>
      </c>
      <c r="C166" s="1608" t="str">
        <f t="shared" si="69"/>
        <v>公：公休（～）ｈ</v>
      </c>
      <c r="D166" s="1609"/>
      <c r="E166" s="1610"/>
      <c r="F166" s="715" t="str">
        <f t="shared" si="70"/>
        <v>公</v>
      </c>
      <c r="G166" s="716">
        <f t="shared" si="71"/>
        <v>0</v>
      </c>
      <c r="H166" s="717">
        <f t="shared" si="72"/>
        <v>0</v>
      </c>
      <c r="I166" s="717">
        <f t="shared" si="73"/>
        <v>0</v>
      </c>
      <c r="J166" s="717">
        <f t="shared" si="74"/>
        <v>0</v>
      </c>
      <c r="K166" s="717">
        <f t="shared" si="75"/>
        <v>0</v>
      </c>
      <c r="L166" s="717">
        <f t="shared" si="76"/>
        <v>0</v>
      </c>
      <c r="M166" s="718">
        <f t="shared" si="77"/>
        <v>0</v>
      </c>
      <c r="N166" s="716">
        <f t="shared" si="78"/>
        <v>0</v>
      </c>
      <c r="O166" s="717">
        <f t="shared" si="79"/>
        <v>0</v>
      </c>
      <c r="P166" s="717">
        <f t="shared" si="80"/>
        <v>0</v>
      </c>
      <c r="Q166" s="717">
        <f t="shared" si="81"/>
        <v>0</v>
      </c>
      <c r="R166" s="717">
        <f t="shared" si="82"/>
        <v>0</v>
      </c>
      <c r="S166" s="717">
        <f t="shared" si="83"/>
        <v>0</v>
      </c>
      <c r="T166" s="718">
        <f t="shared" si="84"/>
        <v>0</v>
      </c>
      <c r="U166" s="716">
        <f t="shared" si="85"/>
        <v>0</v>
      </c>
      <c r="V166" s="717">
        <f t="shared" si="86"/>
        <v>0</v>
      </c>
      <c r="W166" s="717">
        <f t="shared" si="87"/>
        <v>0</v>
      </c>
      <c r="X166" s="717">
        <f t="shared" si="88"/>
        <v>0</v>
      </c>
      <c r="Y166" s="717">
        <f t="shared" si="89"/>
        <v>0</v>
      </c>
      <c r="Z166" s="717">
        <f t="shared" si="90"/>
        <v>0</v>
      </c>
      <c r="AA166" s="718">
        <f t="shared" si="91"/>
        <v>0</v>
      </c>
      <c r="AB166" s="716">
        <f t="shared" si="92"/>
        <v>0</v>
      </c>
      <c r="AC166" s="717">
        <f t="shared" si="93"/>
        <v>0</v>
      </c>
      <c r="AD166" s="717">
        <f t="shared" si="94"/>
        <v>0</v>
      </c>
      <c r="AE166" s="717">
        <f t="shared" si="95"/>
        <v>0</v>
      </c>
      <c r="AF166" s="717">
        <f t="shared" si="96"/>
        <v>0</v>
      </c>
      <c r="AG166" s="717">
        <f t="shared" si="97"/>
        <v>0</v>
      </c>
      <c r="AH166" s="718">
        <f t="shared" si="98"/>
        <v>0</v>
      </c>
      <c r="AI166" s="719">
        <f t="shared" si="99"/>
        <v>0</v>
      </c>
      <c r="AJ166" s="717">
        <f t="shared" si="100"/>
        <v>0</v>
      </c>
      <c r="AK166" s="717">
        <f t="shared" si="101"/>
        <v>0</v>
      </c>
      <c r="AL166" s="720">
        <f t="shared" si="102"/>
        <v>0</v>
      </c>
      <c r="AM166" s="721">
        <f t="shared" si="103"/>
        <v>0</v>
      </c>
      <c r="AN166" s="1611">
        <f t="shared" si="104"/>
        <v>0</v>
      </c>
      <c r="AO166" s="1612"/>
      <c r="AP166" s="686"/>
      <c r="AQ166" s="686"/>
      <c r="AR166" s="686"/>
    </row>
    <row r="167" spans="1:44">
      <c r="A167" s="582"/>
      <c r="B167" s="650" t="s">
        <v>1337</v>
      </c>
      <c r="C167" s="1608" t="str">
        <f t="shared" si="69"/>
        <v>有：有休（～）ｈ</v>
      </c>
      <c r="D167" s="1609"/>
      <c r="E167" s="1610"/>
      <c r="F167" s="715" t="str">
        <f t="shared" si="70"/>
        <v>有</v>
      </c>
      <c r="G167" s="716">
        <f t="shared" si="71"/>
        <v>0</v>
      </c>
      <c r="H167" s="717">
        <f t="shared" si="72"/>
        <v>0</v>
      </c>
      <c r="I167" s="717">
        <f t="shared" si="73"/>
        <v>0</v>
      </c>
      <c r="J167" s="717">
        <f t="shared" si="74"/>
        <v>0</v>
      </c>
      <c r="K167" s="717">
        <f t="shared" si="75"/>
        <v>0</v>
      </c>
      <c r="L167" s="717">
        <f t="shared" si="76"/>
        <v>0</v>
      </c>
      <c r="M167" s="718">
        <f t="shared" si="77"/>
        <v>0</v>
      </c>
      <c r="N167" s="716">
        <f t="shared" si="78"/>
        <v>0</v>
      </c>
      <c r="O167" s="717">
        <f t="shared" si="79"/>
        <v>0</v>
      </c>
      <c r="P167" s="717">
        <f t="shared" si="80"/>
        <v>0</v>
      </c>
      <c r="Q167" s="717">
        <f t="shared" si="81"/>
        <v>0</v>
      </c>
      <c r="R167" s="717">
        <f t="shared" si="82"/>
        <v>0</v>
      </c>
      <c r="S167" s="717">
        <f t="shared" si="83"/>
        <v>0</v>
      </c>
      <c r="T167" s="718">
        <f t="shared" si="84"/>
        <v>0</v>
      </c>
      <c r="U167" s="716">
        <f t="shared" si="85"/>
        <v>0</v>
      </c>
      <c r="V167" s="717">
        <f t="shared" si="86"/>
        <v>0</v>
      </c>
      <c r="W167" s="717">
        <f t="shared" si="87"/>
        <v>0</v>
      </c>
      <c r="X167" s="717">
        <f t="shared" si="88"/>
        <v>0</v>
      </c>
      <c r="Y167" s="717">
        <f t="shared" si="89"/>
        <v>0</v>
      </c>
      <c r="Z167" s="717">
        <f t="shared" si="90"/>
        <v>0</v>
      </c>
      <c r="AA167" s="718">
        <f t="shared" si="91"/>
        <v>0</v>
      </c>
      <c r="AB167" s="716">
        <f t="shared" si="92"/>
        <v>0</v>
      </c>
      <c r="AC167" s="717">
        <f t="shared" si="93"/>
        <v>0</v>
      </c>
      <c r="AD167" s="717">
        <f t="shared" si="94"/>
        <v>0</v>
      </c>
      <c r="AE167" s="717">
        <f t="shared" si="95"/>
        <v>0</v>
      </c>
      <c r="AF167" s="717">
        <f t="shared" si="96"/>
        <v>0</v>
      </c>
      <c r="AG167" s="717">
        <f t="shared" si="97"/>
        <v>0</v>
      </c>
      <c r="AH167" s="718">
        <f t="shared" si="98"/>
        <v>0</v>
      </c>
      <c r="AI167" s="719">
        <f t="shared" si="99"/>
        <v>0</v>
      </c>
      <c r="AJ167" s="717">
        <f t="shared" si="100"/>
        <v>0</v>
      </c>
      <c r="AK167" s="717">
        <f t="shared" si="101"/>
        <v>0</v>
      </c>
      <c r="AL167" s="720">
        <f t="shared" si="102"/>
        <v>0</v>
      </c>
      <c r="AM167" s="721">
        <f t="shared" si="103"/>
        <v>0</v>
      </c>
      <c r="AN167" s="1611">
        <f t="shared" si="104"/>
        <v>0</v>
      </c>
      <c r="AO167" s="1612"/>
      <c r="AP167" s="686"/>
      <c r="AQ167" s="686"/>
      <c r="AR167" s="686"/>
    </row>
    <row r="168" spans="1:44">
      <c r="A168" s="582"/>
      <c r="B168" s="650" t="s">
        <v>1338</v>
      </c>
      <c r="C168" s="1608" t="str">
        <f t="shared" si="69"/>
        <v>欠：欠勤（～）ｈ</v>
      </c>
      <c r="D168" s="1609"/>
      <c r="E168" s="1610"/>
      <c r="F168" s="715" t="str">
        <f t="shared" si="70"/>
        <v>欠</v>
      </c>
      <c r="G168" s="716">
        <f t="shared" si="71"/>
        <v>0</v>
      </c>
      <c r="H168" s="717">
        <f t="shared" si="72"/>
        <v>0</v>
      </c>
      <c r="I168" s="717">
        <f t="shared" si="73"/>
        <v>0</v>
      </c>
      <c r="J168" s="717">
        <f t="shared" si="74"/>
        <v>0</v>
      </c>
      <c r="K168" s="717">
        <f t="shared" si="75"/>
        <v>0</v>
      </c>
      <c r="L168" s="717">
        <f t="shared" si="76"/>
        <v>0</v>
      </c>
      <c r="M168" s="718">
        <f t="shared" si="77"/>
        <v>0</v>
      </c>
      <c r="N168" s="716">
        <f t="shared" si="78"/>
        <v>0</v>
      </c>
      <c r="O168" s="717">
        <f t="shared" si="79"/>
        <v>0</v>
      </c>
      <c r="P168" s="717">
        <f t="shared" si="80"/>
        <v>0</v>
      </c>
      <c r="Q168" s="717">
        <f t="shared" si="81"/>
        <v>0</v>
      </c>
      <c r="R168" s="717">
        <f t="shared" si="82"/>
        <v>0</v>
      </c>
      <c r="S168" s="717">
        <f t="shared" si="83"/>
        <v>0</v>
      </c>
      <c r="T168" s="718">
        <f t="shared" si="84"/>
        <v>0</v>
      </c>
      <c r="U168" s="716">
        <f t="shared" si="85"/>
        <v>0</v>
      </c>
      <c r="V168" s="717">
        <f t="shared" si="86"/>
        <v>0</v>
      </c>
      <c r="W168" s="717">
        <f t="shared" si="87"/>
        <v>0</v>
      </c>
      <c r="X168" s="717">
        <f t="shared" si="88"/>
        <v>0</v>
      </c>
      <c r="Y168" s="717">
        <f t="shared" si="89"/>
        <v>0</v>
      </c>
      <c r="Z168" s="717">
        <f t="shared" si="90"/>
        <v>0</v>
      </c>
      <c r="AA168" s="718">
        <f t="shared" si="91"/>
        <v>0</v>
      </c>
      <c r="AB168" s="716">
        <f t="shared" si="92"/>
        <v>0</v>
      </c>
      <c r="AC168" s="717">
        <f t="shared" si="93"/>
        <v>0</v>
      </c>
      <c r="AD168" s="717">
        <f t="shared" si="94"/>
        <v>0</v>
      </c>
      <c r="AE168" s="717">
        <f t="shared" si="95"/>
        <v>0</v>
      </c>
      <c r="AF168" s="717">
        <f t="shared" si="96"/>
        <v>0</v>
      </c>
      <c r="AG168" s="717">
        <f t="shared" si="97"/>
        <v>0</v>
      </c>
      <c r="AH168" s="718">
        <f t="shared" si="98"/>
        <v>0</v>
      </c>
      <c r="AI168" s="719">
        <f t="shared" si="99"/>
        <v>0</v>
      </c>
      <c r="AJ168" s="717">
        <f t="shared" si="100"/>
        <v>0</v>
      </c>
      <c r="AK168" s="717">
        <f t="shared" si="101"/>
        <v>0</v>
      </c>
      <c r="AL168" s="720">
        <f t="shared" si="102"/>
        <v>0</v>
      </c>
      <c r="AM168" s="721">
        <f t="shared" si="103"/>
        <v>0</v>
      </c>
      <c r="AN168" s="1611">
        <f t="shared" si="104"/>
        <v>0</v>
      </c>
      <c r="AO168" s="1612"/>
      <c r="AP168" s="686"/>
      <c r="AQ168" s="686"/>
      <c r="AR168" s="686"/>
    </row>
    <row r="169" spans="1:44">
      <c r="A169" s="582"/>
      <c r="B169" s="650" t="s">
        <v>1339</v>
      </c>
      <c r="C169" s="1608" t="str">
        <f t="shared" si="69"/>
        <v>特：特休（～）ｈ</v>
      </c>
      <c r="D169" s="1609"/>
      <c r="E169" s="1610"/>
      <c r="F169" s="715" t="str">
        <f t="shared" si="70"/>
        <v>特</v>
      </c>
      <c r="G169" s="716">
        <f t="shared" si="71"/>
        <v>0</v>
      </c>
      <c r="H169" s="717">
        <f t="shared" si="72"/>
        <v>0</v>
      </c>
      <c r="I169" s="717">
        <f t="shared" si="73"/>
        <v>0</v>
      </c>
      <c r="J169" s="717">
        <f t="shared" si="74"/>
        <v>0</v>
      </c>
      <c r="K169" s="717">
        <f t="shared" si="75"/>
        <v>0</v>
      </c>
      <c r="L169" s="717">
        <f t="shared" si="76"/>
        <v>0</v>
      </c>
      <c r="M169" s="718">
        <f t="shared" si="77"/>
        <v>0</v>
      </c>
      <c r="N169" s="716">
        <f t="shared" si="78"/>
        <v>0</v>
      </c>
      <c r="O169" s="717">
        <f t="shared" si="79"/>
        <v>0</v>
      </c>
      <c r="P169" s="717">
        <f t="shared" si="80"/>
        <v>0</v>
      </c>
      <c r="Q169" s="717">
        <f t="shared" si="81"/>
        <v>0</v>
      </c>
      <c r="R169" s="717">
        <f t="shared" si="82"/>
        <v>0</v>
      </c>
      <c r="S169" s="717">
        <f t="shared" si="83"/>
        <v>0</v>
      </c>
      <c r="T169" s="718">
        <f t="shared" si="84"/>
        <v>0</v>
      </c>
      <c r="U169" s="716">
        <f t="shared" si="85"/>
        <v>0</v>
      </c>
      <c r="V169" s="717">
        <f t="shared" si="86"/>
        <v>0</v>
      </c>
      <c r="W169" s="717">
        <f t="shared" si="87"/>
        <v>0</v>
      </c>
      <c r="X169" s="717">
        <f t="shared" si="88"/>
        <v>0</v>
      </c>
      <c r="Y169" s="717">
        <f t="shared" si="89"/>
        <v>0</v>
      </c>
      <c r="Z169" s="717">
        <f t="shared" si="90"/>
        <v>0</v>
      </c>
      <c r="AA169" s="718">
        <f t="shared" si="91"/>
        <v>0</v>
      </c>
      <c r="AB169" s="716">
        <f t="shared" si="92"/>
        <v>0</v>
      </c>
      <c r="AC169" s="717">
        <f t="shared" si="93"/>
        <v>0</v>
      </c>
      <c r="AD169" s="717">
        <f t="shared" si="94"/>
        <v>0</v>
      </c>
      <c r="AE169" s="717">
        <f t="shared" si="95"/>
        <v>0</v>
      </c>
      <c r="AF169" s="717">
        <f t="shared" si="96"/>
        <v>0</v>
      </c>
      <c r="AG169" s="717">
        <f t="shared" si="97"/>
        <v>0</v>
      </c>
      <c r="AH169" s="718">
        <f t="shared" si="98"/>
        <v>0</v>
      </c>
      <c r="AI169" s="719">
        <f t="shared" si="99"/>
        <v>0</v>
      </c>
      <c r="AJ169" s="717">
        <f t="shared" si="100"/>
        <v>0</v>
      </c>
      <c r="AK169" s="717">
        <f t="shared" si="101"/>
        <v>0</v>
      </c>
      <c r="AL169" s="720">
        <f t="shared" si="102"/>
        <v>0</v>
      </c>
      <c r="AM169" s="721">
        <f t="shared" si="103"/>
        <v>0</v>
      </c>
      <c r="AN169" s="1611">
        <f t="shared" si="104"/>
        <v>0</v>
      </c>
      <c r="AO169" s="1612"/>
      <c r="AP169" s="686"/>
      <c r="AQ169" s="686"/>
      <c r="AR169" s="686"/>
    </row>
    <row r="170" spans="1:44">
      <c r="A170" s="582"/>
      <c r="B170" s="650" t="s">
        <v>1340</v>
      </c>
      <c r="C170" s="1608" t="str">
        <f t="shared" si="69"/>
        <v>-：（～）ｈ</v>
      </c>
      <c r="D170" s="1609"/>
      <c r="E170" s="1610"/>
      <c r="F170" s="715" t="str">
        <f t="shared" si="70"/>
        <v>-</v>
      </c>
      <c r="G170" s="716">
        <f t="shared" si="71"/>
        <v>0</v>
      </c>
      <c r="H170" s="717">
        <f t="shared" si="72"/>
        <v>0</v>
      </c>
      <c r="I170" s="717">
        <f t="shared" si="73"/>
        <v>0</v>
      </c>
      <c r="J170" s="717">
        <f t="shared" si="74"/>
        <v>0</v>
      </c>
      <c r="K170" s="717">
        <f t="shared" si="75"/>
        <v>0</v>
      </c>
      <c r="L170" s="717">
        <f t="shared" si="76"/>
        <v>0</v>
      </c>
      <c r="M170" s="718">
        <f t="shared" si="77"/>
        <v>0</v>
      </c>
      <c r="N170" s="716">
        <f t="shared" si="78"/>
        <v>0</v>
      </c>
      <c r="O170" s="717">
        <f t="shared" si="79"/>
        <v>0</v>
      </c>
      <c r="P170" s="717">
        <f t="shared" si="80"/>
        <v>0</v>
      </c>
      <c r="Q170" s="717">
        <f t="shared" si="81"/>
        <v>0</v>
      </c>
      <c r="R170" s="717">
        <f t="shared" si="82"/>
        <v>0</v>
      </c>
      <c r="S170" s="717">
        <f t="shared" si="83"/>
        <v>0</v>
      </c>
      <c r="T170" s="718">
        <f t="shared" si="84"/>
        <v>0</v>
      </c>
      <c r="U170" s="716">
        <f t="shared" si="85"/>
        <v>0</v>
      </c>
      <c r="V170" s="717">
        <f t="shared" si="86"/>
        <v>0</v>
      </c>
      <c r="W170" s="717">
        <f t="shared" si="87"/>
        <v>0</v>
      </c>
      <c r="X170" s="717">
        <f t="shared" si="88"/>
        <v>0</v>
      </c>
      <c r="Y170" s="717">
        <f t="shared" si="89"/>
        <v>0</v>
      </c>
      <c r="Z170" s="717">
        <f t="shared" si="90"/>
        <v>0</v>
      </c>
      <c r="AA170" s="718">
        <f t="shared" si="91"/>
        <v>0</v>
      </c>
      <c r="AB170" s="716">
        <f t="shared" si="92"/>
        <v>0</v>
      </c>
      <c r="AC170" s="717">
        <f t="shared" si="93"/>
        <v>0</v>
      </c>
      <c r="AD170" s="717">
        <f t="shared" si="94"/>
        <v>0</v>
      </c>
      <c r="AE170" s="717">
        <f t="shared" si="95"/>
        <v>0</v>
      </c>
      <c r="AF170" s="717">
        <f t="shared" si="96"/>
        <v>0</v>
      </c>
      <c r="AG170" s="717">
        <f t="shared" si="97"/>
        <v>0</v>
      </c>
      <c r="AH170" s="718">
        <f t="shared" si="98"/>
        <v>0</v>
      </c>
      <c r="AI170" s="719">
        <f t="shared" si="99"/>
        <v>0</v>
      </c>
      <c r="AJ170" s="717">
        <f t="shared" si="100"/>
        <v>0</v>
      </c>
      <c r="AK170" s="717">
        <f t="shared" si="101"/>
        <v>0</v>
      </c>
      <c r="AL170" s="720">
        <f t="shared" si="102"/>
        <v>0</v>
      </c>
      <c r="AM170" s="721">
        <f t="shared" si="103"/>
        <v>0</v>
      </c>
      <c r="AN170" s="1611">
        <f t="shared" si="104"/>
        <v>0</v>
      </c>
      <c r="AO170" s="1612"/>
      <c r="AP170" s="686"/>
      <c r="AQ170" s="686"/>
      <c r="AR170" s="686"/>
    </row>
    <row r="171" spans="1:44">
      <c r="A171" s="582"/>
      <c r="B171" s="650" t="s">
        <v>1341</v>
      </c>
      <c r="C171" s="1608" t="str">
        <f t="shared" si="69"/>
        <v>-：（～）ｈ</v>
      </c>
      <c r="D171" s="1609"/>
      <c r="E171" s="1610"/>
      <c r="F171" s="715" t="str">
        <f t="shared" si="70"/>
        <v>-</v>
      </c>
      <c r="G171" s="716">
        <f t="shared" si="71"/>
        <v>0</v>
      </c>
      <c r="H171" s="717">
        <f t="shared" si="72"/>
        <v>0</v>
      </c>
      <c r="I171" s="717">
        <f t="shared" si="73"/>
        <v>0</v>
      </c>
      <c r="J171" s="717">
        <f t="shared" si="74"/>
        <v>0</v>
      </c>
      <c r="K171" s="717">
        <f t="shared" si="75"/>
        <v>0</v>
      </c>
      <c r="L171" s="717">
        <f t="shared" si="76"/>
        <v>0</v>
      </c>
      <c r="M171" s="718">
        <f t="shared" si="77"/>
        <v>0</v>
      </c>
      <c r="N171" s="716">
        <f t="shared" si="78"/>
        <v>0</v>
      </c>
      <c r="O171" s="717">
        <f t="shared" si="79"/>
        <v>0</v>
      </c>
      <c r="P171" s="717">
        <f t="shared" si="80"/>
        <v>0</v>
      </c>
      <c r="Q171" s="717">
        <f t="shared" si="81"/>
        <v>0</v>
      </c>
      <c r="R171" s="717">
        <f t="shared" si="82"/>
        <v>0</v>
      </c>
      <c r="S171" s="717">
        <f t="shared" si="83"/>
        <v>0</v>
      </c>
      <c r="T171" s="718">
        <f t="shared" si="84"/>
        <v>0</v>
      </c>
      <c r="U171" s="716">
        <f t="shared" si="85"/>
        <v>0</v>
      </c>
      <c r="V171" s="717">
        <f t="shared" si="86"/>
        <v>0</v>
      </c>
      <c r="W171" s="717">
        <f t="shared" si="87"/>
        <v>0</v>
      </c>
      <c r="X171" s="717">
        <f t="shared" si="88"/>
        <v>0</v>
      </c>
      <c r="Y171" s="717">
        <f t="shared" si="89"/>
        <v>0</v>
      </c>
      <c r="Z171" s="717">
        <f t="shared" si="90"/>
        <v>0</v>
      </c>
      <c r="AA171" s="718">
        <f t="shared" si="91"/>
        <v>0</v>
      </c>
      <c r="AB171" s="716">
        <f t="shared" si="92"/>
        <v>0</v>
      </c>
      <c r="AC171" s="717">
        <f t="shared" si="93"/>
        <v>0</v>
      </c>
      <c r="AD171" s="717">
        <f t="shared" si="94"/>
        <v>0</v>
      </c>
      <c r="AE171" s="717">
        <f t="shared" si="95"/>
        <v>0</v>
      </c>
      <c r="AF171" s="717">
        <f t="shared" si="96"/>
        <v>0</v>
      </c>
      <c r="AG171" s="717">
        <f t="shared" si="97"/>
        <v>0</v>
      </c>
      <c r="AH171" s="718">
        <f t="shared" si="98"/>
        <v>0</v>
      </c>
      <c r="AI171" s="719">
        <f t="shared" si="99"/>
        <v>0</v>
      </c>
      <c r="AJ171" s="717">
        <f t="shared" si="100"/>
        <v>0</v>
      </c>
      <c r="AK171" s="717">
        <f t="shared" si="101"/>
        <v>0</v>
      </c>
      <c r="AL171" s="720">
        <f t="shared" si="102"/>
        <v>0</v>
      </c>
      <c r="AM171" s="721">
        <f t="shared" si="103"/>
        <v>0</v>
      </c>
      <c r="AN171" s="1611">
        <f t="shared" si="104"/>
        <v>0</v>
      </c>
      <c r="AO171" s="1612"/>
      <c r="AP171" s="686"/>
      <c r="AQ171" s="686"/>
      <c r="AR171" s="686"/>
    </row>
    <row r="172" spans="1:44">
      <c r="A172" s="582"/>
      <c r="B172" s="650" t="s">
        <v>1342</v>
      </c>
      <c r="C172" s="1608" t="str">
        <f t="shared" si="69"/>
        <v>-：（～）ｈ</v>
      </c>
      <c r="D172" s="1609"/>
      <c r="E172" s="1610"/>
      <c r="F172" s="715" t="str">
        <f t="shared" si="70"/>
        <v>-</v>
      </c>
      <c r="G172" s="716">
        <f t="shared" si="71"/>
        <v>0</v>
      </c>
      <c r="H172" s="717">
        <f t="shared" si="72"/>
        <v>0</v>
      </c>
      <c r="I172" s="717">
        <f t="shared" si="73"/>
        <v>0</v>
      </c>
      <c r="J172" s="717">
        <f t="shared" si="74"/>
        <v>0</v>
      </c>
      <c r="K172" s="717">
        <f t="shared" si="75"/>
        <v>0</v>
      </c>
      <c r="L172" s="717">
        <f t="shared" si="76"/>
        <v>0</v>
      </c>
      <c r="M172" s="718">
        <f t="shared" si="77"/>
        <v>0</v>
      </c>
      <c r="N172" s="716">
        <f t="shared" si="78"/>
        <v>0</v>
      </c>
      <c r="O172" s="717">
        <f t="shared" si="79"/>
        <v>0</v>
      </c>
      <c r="P172" s="717">
        <f t="shared" si="80"/>
        <v>0</v>
      </c>
      <c r="Q172" s="717">
        <f t="shared" si="81"/>
        <v>0</v>
      </c>
      <c r="R172" s="717">
        <f t="shared" si="82"/>
        <v>0</v>
      </c>
      <c r="S172" s="717">
        <f t="shared" si="83"/>
        <v>0</v>
      </c>
      <c r="T172" s="718">
        <f t="shared" si="84"/>
        <v>0</v>
      </c>
      <c r="U172" s="716">
        <f t="shared" si="85"/>
        <v>0</v>
      </c>
      <c r="V172" s="717">
        <f t="shared" si="86"/>
        <v>0</v>
      </c>
      <c r="W172" s="717">
        <f t="shared" si="87"/>
        <v>0</v>
      </c>
      <c r="X172" s="717">
        <f t="shared" si="88"/>
        <v>0</v>
      </c>
      <c r="Y172" s="717">
        <f t="shared" si="89"/>
        <v>0</v>
      </c>
      <c r="Z172" s="717">
        <f t="shared" si="90"/>
        <v>0</v>
      </c>
      <c r="AA172" s="718">
        <f t="shared" si="91"/>
        <v>0</v>
      </c>
      <c r="AB172" s="716">
        <f t="shared" si="92"/>
        <v>0</v>
      </c>
      <c r="AC172" s="717">
        <f t="shared" si="93"/>
        <v>0</v>
      </c>
      <c r="AD172" s="717">
        <f t="shared" si="94"/>
        <v>0</v>
      </c>
      <c r="AE172" s="717">
        <f t="shared" si="95"/>
        <v>0</v>
      </c>
      <c r="AF172" s="717">
        <f t="shared" si="96"/>
        <v>0</v>
      </c>
      <c r="AG172" s="717">
        <f t="shared" si="97"/>
        <v>0</v>
      </c>
      <c r="AH172" s="718">
        <f t="shared" si="98"/>
        <v>0</v>
      </c>
      <c r="AI172" s="719">
        <f t="shared" si="99"/>
        <v>0</v>
      </c>
      <c r="AJ172" s="717">
        <f t="shared" si="100"/>
        <v>0</v>
      </c>
      <c r="AK172" s="717">
        <f t="shared" si="101"/>
        <v>0</v>
      </c>
      <c r="AL172" s="720">
        <f t="shared" si="102"/>
        <v>0</v>
      </c>
      <c r="AM172" s="721">
        <f t="shared" si="103"/>
        <v>0</v>
      </c>
      <c r="AN172" s="1611">
        <f t="shared" si="104"/>
        <v>0</v>
      </c>
      <c r="AO172" s="1612"/>
      <c r="AP172" s="686"/>
      <c r="AQ172" s="686"/>
      <c r="AR172" s="686"/>
    </row>
    <row r="173" spans="1:44">
      <c r="A173" s="582"/>
      <c r="B173" s="650" t="s">
        <v>1343</v>
      </c>
      <c r="C173" s="1608" t="str">
        <f t="shared" si="69"/>
        <v>-：（～）ｈ</v>
      </c>
      <c r="D173" s="1609"/>
      <c r="E173" s="1610"/>
      <c r="F173" s="715" t="str">
        <f t="shared" si="70"/>
        <v>-</v>
      </c>
      <c r="G173" s="716">
        <f t="shared" si="71"/>
        <v>0</v>
      </c>
      <c r="H173" s="717">
        <f t="shared" si="72"/>
        <v>0</v>
      </c>
      <c r="I173" s="717">
        <f t="shared" si="73"/>
        <v>0</v>
      </c>
      <c r="J173" s="717">
        <f t="shared" si="74"/>
        <v>0</v>
      </c>
      <c r="K173" s="717">
        <f t="shared" si="75"/>
        <v>0</v>
      </c>
      <c r="L173" s="717">
        <f t="shared" si="76"/>
        <v>0</v>
      </c>
      <c r="M173" s="718">
        <f t="shared" si="77"/>
        <v>0</v>
      </c>
      <c r="N173" s="716">
        <f t="shared" si="78"/>
        <v>0</v>
      </c>
      <c r="O173" s="717">
        <f t="shared" si="79"/>
        <v>0</v>
      </c>
      <c r="P173" s="717">
        <f t="shared" si="80"/>
        <v>0</v>
      </c>
      <c r="Q173" s="717">
        <f t="shared" si="81"/>
        <v>0</v>
      </c>
      <c r="R173" s="717">
        <f t="shared" si="82"/>
        <v>0</v>
      </c>
      <c r="S173" s="717">
        <f t="shared" si="83"/>
        <v>0</v>
      </c>
      <c r="T173" s="718">
        <f t="shared" si="84"/>
        <v>0</v>
      </c>
      <c r="U173" s="716">
        <f t="shared" si="85"/>
        <v>0</v>
      </c>
      <c r="V173" s="717">
        <f t="shared" si="86"/>
        <v>0</v>
      </c>
      <c r="W173" s="717">
        <f t="shared" si="87"/>
        <v>0</v>
      </c>
      <c r="X173" s="717">
        <f t="shared" si="88"/>
        <v>0</v>
      </c>
      <c r="Y173" s="717">
        <f t="shared" si="89"/>
        <v>0</v>
      </c>
      <c r="Z173" s="717">
        <f t="shared" si="90"/>
        <v>0</v>
      </c>
      <c r="AA173" s="718">
        <f t="shared" si="91"/>
        <v>0</v>
      </c>
      <c r="AB173" s="716">
        <f t="shared" si="92"/>
        <v>0</v>
      </c>
      <c r="AC173" s="717">
        <f t="shared" si="93"/>
        <v>0</v>
      </c>
      <c r="AD173" s="717">
        <f t="shared" si="94"/>
        <v>0</v>
      </c>
      <c r="AE173" s="717">
        <f t="shared" si="95"/>
        <v>0</v>
      </c>
      <c r="AF173" s="717">
        <f t="shared" si="96"/>
        <v>0</v>
      </c>
      <c r="AG173" s="717">
        <f t="shared" si="97"/>
        <v>0</v>
      </c>
      <c r="AH173" s="718">
        <f t="shared" si="98"/>
        <v>0</v>
      </c>
      <c r="AI173" s="719">
        <f t="shared" si="99"/>
        <v>0</v>
      </c>
      <c r="AJ173" s="717">
        <f t="shared" si="100"/>
        <v>0</v>
      </c>
      <c r="AK173" s="717">
        <f t="shared" si="101"/>
        <v>0</v>
      </c>
      <c r="AL173" s="720">
        <f t="shared" si="102"/>
        <v>0</v>
      </c>
      <c r="AM173" s="721">
        <f t="shared" si="103"/>
        <v>0</v>
      </c>
      <c r="AN173" s="1611">
        <f t="shared" si="104"/>
        <v>0</v>
      </c>
      <c r="AO173" s="1612"/>
      <c r="AP173" s="686"/>
      <c r="AQ173" s="686"/>
      <c r="AR173" s="686"/>
    </row>
    <row r="174" spans="1:44">
      <c r="A174" s="582"/>
      <c r="B174" s="650" t="s">
        <v>1344</v>
      </c>
      <c r="C174" s="1608" t="str">
        <f t="shared" si="69"/>
        <v>-：（～）ｈ</v>
      </c>
      <c r="D174" s="1609"/>
      <c r="E174" s="1610"/>
      <c r="F174" s="715" t="str">
        <f t="shared" si="70"/>
        <v>-</v>
      </c>
      <c r="G174" s="716">
        <f t="shared" si="71"/>
        <v>0</v>
      </c>
      <c r="H174" s="717">
        <f t="shared" si="72"/>
        <v>0</v>
      </c>
      <c r="I174" s="717">
        <f t="shared" si="73"/>
        <v>0</v>
      </c>
      <c r="J174" s="717">
        <f t="shared" si="74"/>
        <v>0</v>
      </c>
      <c r="K174" s="717">
        <f t="shared" si="75"/>
        <v>0</v>
      </c>
      <c r="L174" s="717">
        <f t="shared" si="76"/>
        <v>0</v>
      </c>
      <c r="M174" s="718">
        <f t="shared" si="77"/>
        <v>0</v>
      </c>
      <c r="N174" s="716">
        <f t="shared" si="78"/>
        <v>0</v>
      </c>
      <c r="O174" s="717">
        <f t="shared" si="79"/>
        <v>0</v>
      </c>
      <c r="P174" s="717">
        <f t="shared" si="80"/>
        <v>0</v>
      </c>
      <c r="Q174" s="717">
        <f t="shared" si="81"/>
        <v>0</v>
      </c>
      <c r="R174" s="717">
        <f t="shared" si="82"/>
        <v>0</v>
      </c>
      <c r="S174" s="717">
        <f t="shared" si="83"/>
        <v>0</v>
      </c>
      <c r="T174" s="718">
        <f t="shared" si="84"/>
        <v>0</v>
      </c>
      <c r="U174" s="716">
        <f t="shared" si="85"/>
        <v>0</v>
      </c>
      <c r="V174" s="717">
        <f t="shared" si="86"/>
        <v>0</v>
      </c>
      <c r="W174" s="717">
        <f t="shared" si="87"/>
        <v>0</v>
      </c>
      <c r="X174" s="717">
        <f t="shared" si="88"/>
        <v>0</v>
      </c>
      <c r="Y174" s="717">
        <f t="shared" si="89"/>
        <v>0</v>
      </c>
      <c r="Z174" s="717">
        <f t="shared" si="90"/>
        <v>0</v>
      </c>
      <c r="AA174" s="718">
        <f t="shared" si="91"/>
        <v>0</v>
      </c>
      <c r="AB174" s="716">
        <f t="shared" si="92"/>
        <v>0</v>
      </c>
      <c r="AC174" s="717">
        <f t="shared" si="93"/>
        <v>0</v>
      </c>
      <c r="AD174" s="717">
        <f t="shared" si="94"/>
        <v>0</v>
      </c>
      <c r="AE174" s="717">
        <f t="shared" si="95"/>
        <v>0</v>
      </c>
      <c r="AF174" s="717">
        <f t="shared" si="96"/>
        <v>0</v>
      </c>
      <c r="AG174" s="717">
        <f t="shared" si="97"/>
        <v>0</v>
      </c>
      <c r="AH174" s="718">
        <f t="shared" si="98"/>
        <v>0</v>
      </c>
      <c r="AI174" s="719">
        <f t="shared" si="99"/>
        <v>0</v>
      </c>
      <c r="AJ174" s="717">
        <f t="shared" si="100"/>
        <v>0</v>
      </c>
      <c r="AK174" s="717">
        <f t="shared" si="101"/>
        <v>0</v>
      </c>
      <c r="AL174" s="720">
        <f t="shared" si="102"/>
        <v>0</v>
      </c>
      <c r="AM174" s="721">
        <f t="shared" si="103"/>
        <v>0</v>
      </c>
      <c r="AN174" s="1611">
        <f t="shared" si="104"/>
        <v>0</v>
      </c>
      <c r="AO174" s="1612"/>
      <c r="AP174" s="686"/>
      <c r="AQ174" s="686"/>
      <c r="AR174" s="686"/>
    </row>
    <row r="175" spans="1:44">
      <c r="A175" s="582"/>
      <c r="B175" s="650" t="s">
        <v>1345</v>
      </c>
      <c r="C175" s="1613" t="str">
        <f t="shared" si="69"/>
        <v>-：（～）ｈ</v>
      </c>
      <c r="D175" s="1614"/>
      <c r="E175" s="1615"/>
      <c r="F175" s="722" t="str">
        <f t="shared" si="70"/>
        <v>-</v>
      </c>
      <c r="G175" s="723">
        <f t="shared" si="71"/>
        <v>0</v>
      </c>
      <c r="H175" s="724">
        <f t="shared" si="72"/>
        <v>0</v>
      </c>
      <c r="I175" s="724">
        <f t="shared" si="73"/>
        <v>0</v>
      </c>
      <c r="J175" s="724">
        <f t="shared" si="74"/>
        <v>0</v>
      </c>
      <c r="K175" s="724">
        <f t="shared" si="75"/>
        <v>0</v>
      </c>
      <c r="L175" s="724">
        <f t="shared" si="76"/>
        <v>0</v>
      </c>
      <c r="M175" s="725">
        <f t="shared" si="77"/>
        <v>0</v>
      </c>
      <c r="N175" s="723">
        <f t="shared" si="78"/>
        <v>0</v>
      </c>
      <c r="O175" s="724">
        <f t="shared" si="79"/>
        <v>0</v>
      </c>
      <c r="P175" s="724">
        <f t="shared" si="80"/>
        <v>0</v>
      </c>
      <c r="Q175" s="724">
        <f t="shared" si="81"/>
        <v>0</v>
      </c>
      <c r="R175" s="724">
        <f t="shared" si="82"/>
        <v>0</v>
      </c>
      <c r="S175" s="724">
        <f t="shared" si="83"/>
        <v>0</v>
      </c>
      <c r="T175" s="725">
        <f t="shared" si="84"/>
        <v>0</v>
      </c>
      <c r="U175" s="723">
        <f t="shared" si="85"/>
        <v>0</v>
      </c>
      <c r="V175" s="724">
        <f t="shared" si="86"/>
        <v>0</v>
      </c>
      <c r="W175" s="724">
        <f t="shared" si="87"/>
        <v>0</v>
      </c>
      <c r="X175" s="724">
        <f t="shared" si="88"/>
        <v>0</v>
      </c>
      <c r="Y175" s="724">
        <f t="shared" si="89"/>
        <v>0</v>
      </c>
      <c r="Z175" s="724">
        <f t="shared" si="90"/>
        <v>0</v>
      </c>
      <c r="AA175" s="725">
        <f t="shared" si="91"/>
        <v>0</v>
      </c>
      <c r="AB175" s="723">
        <f t="shared" si="92"/>
        <v>0</v>
      </c>
      <c r="AC175" s="724">
        <f t="shared" si="93"/>
        <v>0</v>
      </c>
      <c r="AD175" s="724">
        <f t="shared" si="94"/>
        <v>0</v>
      </c>
      <c r="AE175" s="724">
        <f t="shared" si="95"/>
        <v>0</v>
      </c>
      <c r="AF175" s="724">
        <f t="shared" si="96"/>
        <v>0</v>
      </c>
      <c r="AG175" s="724">
        <f t="shared" si="97"/>
        <v>0</v>
      </c>
      <c r="AH175" s="725">
        <f t="shared" si="98"/>
        <v>0</v>
      </c>
      <c r="AI175" s="726">
        <f t="shared" si="99"/>
        <v>0</v>
      </c>
      <c r="AJ175" s="724">
        <f t="shared" si="100"/>
        <v>0</v>
      </c>
      <c r="AK175" s="724">
        <f t="shared" si="101"/>
        <v>0</v>
      </c>
      <c r="AL175" s="727">
        <f t="shared" si="102"/>
        <v>0</v>
      </c>
      <c r="AM175" s="728">
        <f t="shared" si="103"/>
        <v>0</v>
      </c>
      <c r="AN175" s="1616">
        <f t="shared" si="104"/>
        <v>0</v>
      </c>
      <c r="AO175" s="1617"/>
      <c r="AP175" s="686"/>
      <c r="AQ175" s="686"/>
      <c r="AR175" s="686"/>
    </row>
    <row r="176" spans="1:44" ht="13.5" customHeight="1">
      <c r="A176" s="582"/>
      <c r="C176" s="729"/>
      <c r="G176" s="730"/>
      <c r="H176" s="594"/>
      <c r="I176" s="594"/>
      <c r="J176" s="594"/>
      <c r="K176" s="594"/>
      <c r="L176" s="594"/>
      <c r="M176" s="594"/>
      <c r="N176" s="594"/>
      <c r="O176" s="594"/>
      <c r="P176" s="594"/>
      <c r="Q176" s="594"/>
      <c r="R176" s="594"/>
      <c r="S176" s="594"/>
      <c r="T176" s="594"/>
      <c r="U176" s="594"/>
      <c r="V176" s="594"/>
      <c r="W176" s="594"/>
      <c r="X176" s="594"/>
      <c r="Y176" s="594"/>
      <c r="Z176" s="594"/>
      <c r="AA176" s="594"/>
      <c r="AB176" s="594"/>
      <c r="AC176" s="594"/>
      <c r="AD176" s="594"/>
      <c r="AE176" s="594"/>
      <c r="AF176" s="594"/>
      <c r="AG176" s="594"/>
      <c r="AH176" s="594"/>
      <c r="AI176" s="1595" t="s">
        <v>1346</v>
      </c>
      <c r="AJ176" s="1595"/>
      <c r="AK176" s="1595"/>
      <c r="AL176" s="1595"/>
      <c r="AM176" s="1596"/>
      <c r="AN176" s="1597">
        <f>SUM(AN151:AO175)</f>
        <v>557.73</v>
      </c>
      <c r="AO176" s="1598"/>
      <c r="AP176" s="594"/>
      <c r="AQ176" s="594"/>
      <c r="AR176" s="594"/>
    </row>
    <row r="177" spans="1:44" ht="13.5" customHeight="1">
      <c r="A177" s="582"/>
      <c r="C177" s="729"/>
      <c r="G177" s="730"/>
      <c r="H177" s="594"/>
      <c r="I177" s="594"/>
      <c r="J177" s="594"/>
      <c r="K177" s="594"/>
      <c r="L177" s="594"/>
      <c r="M177" s="594"/>
      <c r="N177" s="594"/>
      <c r="O177" s="594"/>
      <c r="P177" s="594"/>
      <c r="Q177" s="594"/>
      <c r="R177" s="594"/>
      <c r="S177" s="594"/>
      <c r="T177" s="594"/>
      <c r="U177" s="594"/>
      <c r="V177" s="594"/>
      <c r="W177" s="594"/>
      <c r="X177" s="594"/>
      <c r="Y177" s="594"/>
      <c r="Z177" s="594"/>
      <c r="AA177" s="594"/>
      <c r="AB177" s="594"/>
      <c r="AC177" s="594"/>
      <c r="AD177" s="594"/>
      <c r="AE177" s="594"/>
      <c r="AF177" s="594"/>
      <c r="AG177" s="594"/>
      <c r="AH177" s="594"/>
      <c r="AI177" s="731"/>
      <c r="AJ177" s="731"/>
      <c r="AK177" s="731"/>
      <c r="AL177" s="731"/>
      <c r="AM177" s="731"/>
      <c r="AN177" s="732"/>
      <c r="AO177" s="732"/>
      <c r="AP177" s="594"/>
      <c r="AQ177" s="594"/>
      <c r="AR177" s="594"/>
    </row>
    <row r="178" spans="1:44" ht="14.4">
      <c r="A178" s="582"/>
      <c r="C178" s="583" t="s">
        <v>1347</v>
      </c>
      <c r="G178" s="730"/>
      <c r="H178" s="594"/>
      <c r="I178" s="594"/>
      <c r="J178" s="594"/>
      <c r="K178" s="594"/>
      <c r="L178" s="594"/>
      <c r="M178" s="594"/>
      <c r="N178" s="594"/>
      <c r="O178" s="594"/>
      <c r="P178" s="594"/>
      <c r="Q178" s="594"/>
      <c r="R178" s="594"/>
      <c r="S178" s="594"/>
      <c r="T178" s="594"/>
      <c r="U178" s="594"/>
      <c r="V178" s="594"/>
      <c r="W178" s="594"/>
      <c r="X178" s="594"/>
      <c r="Y178" s="594"/>
      <c r="Z178" s="594"/>
      <c r="AA178" s="594"/>
      <c r="AB178" s="594"/>
      <c r="AC178" s="594"/>
      <c r="AD178" s="594"/>
      <c r="AE178" s="594"/>
      <c r="AF178" s="594"/>
      <c r="AG178" s="594"/>
      <c r="AH178" s="594"/>
      <c r="AI178" s="594"/>
      <c r="AJ178" s="594"/>
      <c r="AK178" s="594"/>
      <c r="AL178" s="594"/>
      <c r="AM178" s="594"/>
      <c r="AN178" s="594"/>
      <c r="AO178" s="594"/>
      <c r="AP178" s="594"/>
      <c r="AQ178" s="594"/>
      <c r="AR178" s="594"/>
    </row>
    <row r="179" spans="1:44">
      <c r="A179" s="582"/>
      <c r="C179" s="729"/>
      <c r="G179" s="730"/>
      <c r="H179" s="594"/>
      <c r="I179" s="594"/>
      <c r="J179" s="594"/>
      <c r="K179" s="594"/>
      <c r="L179" s="594"/>
      <c r="M179" s="594"/>
      <c r="N179" s="594"/>
      <c r="O179" s="594"/>
      <c r="P179" s="594"/>
      <c r="Q179" s="594"/>
      <c r="R179" s="594"/>
      <c r="S179" s="594"/>
      <c r="T179" s="594"/>
      <c r="U179" s="594"/>
      <c r="V179" s="594"/>
      <c r="W179" s="594"/>
      <c r="X179" s="594"/>
      <c r="Y179" s="594"/>
      <c r="Z179" s="594"/>
      <c r="AA179" s="594"/>
      <c r="AB179" s="594"/>
      <c r="AC179" s="594"/>
      <c r="AD179" s="594"/>
      <c r="AE179" s="594"/>
      <c r="AF179" s="594"/>
      <c r="AG179" s="594"/>
      <c r="AH179" s="594"/>
      <c r="AI179" s="594"/>
      <c r="AJ179" s="594"/>
      <c r="AK179" s="594"/>
      <c r="AL179" s="594"/>
      <c r="AM179" s="594"/>
      <c r="AN179" s="594"/>
      <c r="AO179" s="594"/>
      <c r="AP179" s="594"/>
      <c r="AQ179" s="594"/>
      <c r="AR179" s="594"/>
    </row>
    <row r="180" spans="1:44">
      <c r="A180" s="582"/>
      <c r="C180" s="582" t="s">
        <v>1348</v>
      </c>
      <c r="G180" s="730"/>
      <c r="H180" s="594"/>
      <c r="I180" s="594"/>
      <c r="J180" s="594"/>
      <c r="K180" s="594"/>
      <c r="L180" s="594"/>
      <c r="M180" s="594"/>
      <c r="N180" s="594"/>
      <c r="O180" s="594"/>
      <c r="P180" s="594"/>
      <c r="Q180" s="594"/>
      <c r="R180" s="594"/>
      <c r="S180" s="594"/>
      <c r="T180" s="594"/>
      <c r="U180" s="594"/>
      <c r="V180" s="594"/>
      <c r="W180" s="594"/>
      <c r="X180" s="594"/>
      <c r="Y180" s="594"/>
      <c r="Z180" s="594"/>
      <c r="AA180" s="594"/>
      <c r="AB180" s="594"/>
      <c r="AC180" s="594"/>
      <c r="AD180" s="594"/>
      <c r="AE180" s="594"/>
      <c r="AF180" s="594"/>
      <c r="AG180" s="594"/>
      <c r="AH180" s="594"/>
      <c r="AI180" s="594"/>
      <c r="AJ180" s="594"/>
      <c r="AK180" s="594"/>
      <c r="AL180" s="594"/>
      <c r="AM180" s="594"/>
      <c r="AN180" s="594"/>
      <c r="AO180" s="594"/>
      <c r="AP180" s="594"/>
      <c r="AQ180" s="594"/>
      <c r="AR180" s="594"/>
    </row>
    <row r="181" spans="1:44">
      <c r="A181" s="582"/>
      <c r="C181" s="592" t="s">
        <v>1349</v>
      </c>
    </row>
    <row r="182" spans="1:44">
      <c r="A182" s="582"/>
      <c r="C182" s="592" t="s">
        <v>1350</v>
      </c>
    </row>
    <row r="183" spans="1:44">
      <c r="A183" s="582"/>
      <c r="C183" s="592" t="s">
        <v>1351</v>
      </c>
    </row>
    <row r="184" spans="1:44">
      <c r="A184" s="582"/>
      <c r="C184" s="592"/>
      <c r="D184" s="594" t="s">
        <v>1352</v>
      </c>
    </row>
    <row r="185" spans="1:44">
      <c r="A185" s="582"/>
      <c r="C185" s="592" t="s">
        <v>1353</v>
      </c>
    </row>
    <row r="186" spans="1:44">
      <c r="A186" s="582"/>
      <c r="C186" s="592"/>
      <c r="D186" s="594" t="s">
        <v>1354</v>
      </c>
      <c r="E186" s="594"/>
      <c r="F186" s="594"/>
    </row>
    <row r="187" spans="1:44">
      <c r="A187" s="582"/>
      <c r="C187" s="592" t="s">
        <v>1355</v>
      </c>
    </row>
    <row r="188" spans="1:44">
      <c r="A188" s="582"/>
      <c r="C188" s="592" t="s">
        <v>1356</v>
      </c>
    </row>
    <row r="189" spans="1:44">
      <c r="A189" s="582"/>
    </row>
    <row r="190" spans="1:44" ht="14.4">
      <c r="A190" s="582"/>
      <c r="C190" s="583" t="s">
        <v>1357</v>
      </c>
    </row>
    <row r="191" spans="1:44" ht="12.6" thickBot="1">
      <c r="A191" s="582"/>
    </row>
    <row r="192" spans="1:44">
      <c r="A192" s="582"/>
      <c r="C192" s="1599" t="s">
        <v>1358</v>
      </c>
      <c r="D192" s="1600"/>
      <c r="E192" s="1600"/>
      <c r="F192" s="733"/>
      <c r="G192" s="1603">
        <v>7.75</v>
      </c>
      <c r="H192" s="1603"/>
      <c r="I192" s="1590" t="s">
        <v>1359</v>
      </c>
      <c r="J192" s="1590"/>
      <c r="K192" s="734">
        <v>5</v>
      </c>
      <c r="L192" s="1590" t="s">
        <v>1360</v>
      </c>
      <c r="M192" s="1590"/>
      <c r="N192" s="1604">
        <f>G192*K192</f>
        <v>38.75</v>
      </c>
      <c r="O192" s="1604"/>
      <c r="P192" s="735" t="s">
        <v>1361</v>
      </c>
      <c r="Q192" s="1605"/>
      <c r="R192" s="1605"/>
      <c r="Z192" s="1599" t="s">
        <v>1362</v>
      </c>
      <c r="AA192" s="1600"/>
      <c r="AB192" s="1600"/>
      <c r="AC192" s="1606"/>
      <c r="AD192" s="1584" t="s">
        <v>1363</v>
      </c>
      <c r="AE192" s="1585"/>
      <c r="AF192" s="1588" t="s">
        <v>1364</v>
      </c>
      <c r="AG192" s="1588"/>
      <c r="AH192" s="1590" t="s">
        <v>1365</v>
      </c>
      <c r="AI192" s="1588" t="s">
        <v>1366</v>
      </c>
      <c r="AJ192" s="1588"/>
      <c r="AK192" s="1591">
        <v>14.75</v>
      </c>
      <c r="AL192" s="1591"/>
      <c r="AM192" s="1593" t="s">
        <v>1367</v>
      </c>
    </row>
    <row r="193" spans="1:48" ht="12.6" thickBot="1">
      <c r="A193" s="582"/>
      <c r="C193" s="1601"/>
      <c r="D193" s="1602"/>
      <c r="E193" s="1602"/>
      <c r="F193" s="736"/>
      <c r="G193" s="736"/>
      <c r="H193" s="736"/>
      <c r="I193" s="737"/>
      <c r="J193" s="737"/>
      <c r="K193" s="738">
        <v>4</v>
      </c>
      <c r="L193" s="1581" t="s">
        <v>1368</v>
      </c>
      <c r="M193" s="1581"/>
      <c r="N193" s="1582">
        <f>N192*K193</f>
        <v>155</v>
      </c>
      <c r="O193" s="1582"/>
      <c r="P193" s="739" t="s">
        <v>1369</v>
      </c>
      <c r="Z193" s="1601"/>
      <c r="AA193" s="1602"/>
      <c r="AB193" s="1602"/>
      <c r="AC193" s="1607"/>
      <c r="AD193" s="1586"/>
      <c r="AE193" s="1587"/>
      <c r="AF193" s="1589"/>
      <c r="AG193" s="1589"/>
      <c r="AH193" s="1581"/>
      <c r="AI193" s="1589"/>
      <c r="AJ193" s="1589"/>
      <c r="AK193" s="1592"/>
      <c r="AL193" s="1592"/>
      <c r="AM193" s="1594"/>
    </row>
    <row r="194" spans="1:48">
      <c r="A194" s="582"/>
      <c r="C194" s="683"/>
      <c r="D194" s="683"/>
      <c r="E194" s="683"/>
      <c r="F194" s="683"/>
      <c r="G194" s="683"/>
      <c r="H194" s="683"/>
      <c r="I194" s="683"/>
      <c r="J194" s="683"/>
      <c r="K194" s="683"/>
      <c r="L194" s="683"/>
      <c r="M194" s="683"/>
      <c r="N194" s="683"/>
      <c r="O194" s="683"/>
      <c r="P194" s="683"/>
      <c r="AC194" s="584" t="s">
        <v>1370</v>
      </c>
    </row>
    <row r="195" spans="1:48">
      <c r="A195" s="582"/>
      <c r="C195" s="683"/>
      <c r="D195" s="683"/>
      <c r="E195" s="683"/>
      <c r="F195" s="683"/>
      <c r="G195" s="683"/>
      <c r="H195" s="683"/>
      <c r="I195" s="582" t="s">
        <v>1371</v>
      </c>
      <c r="J195" s="683"/>
      <c r="K195" s="683"/>
      <c r="L195" s="683"/>
      <c r="M195" s="683"/>
      <c r="N195" s="683"/>
      <c r="O195" s="683"/>
      <c r="P195" s="683"/>
      <c r="AC195" s="584"/>
    </row>
    <row r="196" spans="1:48" ht="15.9" customHeight="1" thickBot="1">
      <c r="A196" s="582"/>
      <c r="E196" s="740" t="s">
        <v>1227</v>
      </c>
      <c r="F196" s="1574" t="s">
        <v>1372</v>
      </c>
      <c r="G196" s="1576"/>
      <c r="I196" s="1583" t="s">
        <v>1373</v>
      </c>
      <c r="J196" s="1583"/>
      <c r="K196" s="1583" t="s">
        <v>1374</v>
      </c>
      <c r="L196" s="1583"/>
      <c r="M196" s="1574" t="s">
        <v>1375</v>
      </c>
      <c r="N196" s="1575"/>
      <c r="O196" s="1575"/>
      <c r="P196" s="1575"/>
      <c r="Q196" s="1576"/>
      <c r="S196" s="1574" t="s">
        <v>1376</v>
      </c>
      <c r="T196" s="1575"/>
      <c r="U196" s="1575"/>
      <c r="V196" s="1575"/>
      <c r="W196" s="1576"/>
      <c r="Z196" s="1577"/>
      <c r="AA196" s="1577"/>
      <c r="AB196" s="1577"/>
      <c r="AC196" s="1577" t="s">
        <v>1377</v>
      </c>
      <c r="AD196" s="1577"/>
      <c r="AE196" s="1577"/>
      <c r="AF196" s="1577" t="s">
        <v>1378</v>
      </c>
      <c r="AG196" s="1577"/>
      <c r="AH196" s="1577"/>
      <c r="AI196" s="1577"/>
      <c r="AJ196" s="1577"/>
      <c r="AK196" s="1577" t="s">
        <v>1319</v>
      </c>
      <c r="AL196" s="1577"/>
      <c r="AM196" s="1577"/>
      <c r="AN196" s="741" t="s">
        <v>1379</v>
      </c>
      <c r="AP196" s="1578" t="s">
        <v>1380</v>
      </c>
      <c r="AQ196" s="1579"/>
      <c r="AR196" s="1580"/>
    </row>
    <row r="197" spans="1:48" ht="15.9" customHeight="1">
      <c r="A197" s="582"/>
      <c r="E197" s="789" t="s">
        <v>1381</v>
      </c>
      <c r="F197" s="1568">
        <f t="shared" ref="F197:F221" si="105">IF(E197="","",COUNTIF($C$10:$C$141,E197))</f>
        <v>0</v>
      </c>
      <c r="G197" s="1569"/>
      <c r="I197" s="1570">
        <f t="shared" ref="I197:I221" si="106">SUMIF($AN$10:$AN$141,E197,$AP$10:$AP$141)</f>
        <v>0</v>
      </c>
      <c r="J197" s="1570"/>
      <c r="K197" s="1570">
        <f t="shared" ref="K197:K221" si="107">SUMIF($AN$10:$AN$141,E197,$AR$10:$AR$141)</f>
        <v>0</v>
      </c>
      <c r="L197" s="1570"/>
      <c r="M197" s="1571">
        <f t="shared" ref="M197:M221" si="108">SUM(I197:L197)</f>
        <v>0</v>
      </c>
      <c r="N197" s="1557"/>
      <c r="O197" s="743" t="s">
        <v>1382</v>
      </c>
      <c r="P197" s="1557">
        <f t="shared" ref="P197:P221" si="109">ROUNDDOWN(SUM(M197),1)</f>
        <v>0</v>
      </c>
      <c r="Q197" s="1558"/>
      <c r="S197" s="1572">
        <f t="shared" ref="S197:S221" si="110">SUMIF($AN$10:$AN$141,E197,$AQ$10:$AQ$141)</f>
        <v>0</v>
      </c>
      <c r="T197" s="1573"/>
      <c r="U197" s="743" t="s">
        <v>1382</v>
      </c>
      <c r="V197" s="1557">
        <f>ROUNDDOWN(SUM(S197),1)</f>
        <v>0</v>
      </c>
      <c r="W197" s="1558"/>
      <c r="Y197" s="744" t="s">
        <v>1383</v>
      </c>
      <c r="Z197" s="1559"/>
      <c r="AA197" s="1560"/>
      <c r="AB197" s="1560"/>
      <c r="AC197" s="790" t="s">
        <v>1384</v>
      </c>
      <c r="AD197" s="1561" t="s">
        <v>1385</v>
      </c>
      <c r="AE197" s="1562"/>
      <c r="AF197" s="1563" t="s">
        <v>1364</v>
      </c>
      <c r="AG197" s="1564"/>
      <c r="AH197" s="746" t="s">
        <v>1365</v>
      </c>
      <c r="AI197" s="1564" t="s">
        <v>1386</v>
      </c>
      <c r="AJ197" s="1565"/>
      <c r="AK197" s="1566">
        <v>7.5</v>
      </c>
      <c r="AL197" s="1567"/>
      <c r="AM197" s="747" t="s">
        <v>1367</v>
      </c>
      <c r="AN197" s="748" t="str">
        <f>CONCATENATE(AC197,"：",AD197,"（",AK197,AM197,"）、")</f>
        <v>夜：夜勤（7.5ｈ）、</v>
      </c>
      <c r="AO197" s="582" t="str">
        <f>IF(AC197="","",AC197)</f>
        <v>夜</v>
      </c>
      <c r="AP197" s="749">
        <v>7.5</v>
      </c>
      <c r="AQ197" s="750"/>
      <c r="AR197" s="751">
        <f>SUM(AP197:AQ197)</f>
        <v>7.5</v>
      </c>
      <c r="AU197" s="753"/>
      <c r="AV197" s="753"/>
    </row>
    <row r="198" spans="1:48" ht="15.9" customHeight="1" thickBot="1">
      <c r="A198" s="582"/>
      <c r="E198" s="791" t="s">
        <v>1387</v>
      </c>
      <c r="F198" s="1534">
        <f t="shared" si="105"/>
        <v>0</v>
      </c>
      <c r="G198" s="1535"/>
      <c r="I198" s="1536">
        <f t="shared" si="106"/>
        <v>0</v>
      </c>
      <c r="J198" s="1536"/>
      <c r="K198" s="1536">
        <f t="shared" si="107"/>
        <v>0</v>
      </c>
      <c r="L198" s="1536"/>
      <c r="M198" s="1537">
        <f t="shared" si="108"/>
        <v>0</v>
      </c>
      <c r="N198" s="1524"/>
      <c r="O198" s="755" t="s">
        <v>1382</v>
      </c>
      <c r="P198" s="1524">
        <f t="shared" si="109"/>
        <v>0</v>
      </c>
      <c r="Q198" s="1525"/>
      <c r="S198" s="1538">
        <f t="shared" si="110"/>
        <v>0</v>
      </c>
      <c r="T198" s="1539"/>
      <c r="U198" s="755" t="s">
        <v>1382</v>
      </c>
      <c r="V198" s="1524">
        <f t="shared" ref="V198:V221" si="111">ROUNDDOWN(SUM(S198),1)</f>
        <v>0</v>
      </c>
      <c r="W198" s="1525"/>
      <c r="Y198" s="744" t="s">
        <v>1388</v>
      </c>
      <c r="Z198" s="1548"/>
      <c r="AA198" s="1549"/>
      <c r="AB198" s="1549"/>
      <c r="AC198" s="792" t="s">
        <v>1389</v>
      </c>
      <c r="AD198" s="1550" t="s">
        <v>1390</v>
      </c>
      <c r="AE198" s="1551"/>
      <c r="AF198" s="1552" t="s">
        <v>1386</v>
      </c>
      <c r="AG198" s="1553"/>
      <c r="AH198" s="757" t="s">
        <v>1365</v>
      </c>
      <c r="AI198" s="1553" t="s">
        <v>1366</v>
      </c>
      <c r="AJ198" s="1554"/>
      <c r="AK198" s="1555">
        <v>7.25</v>
      </c>
      <c r="AL198" s="1556"/>
      <c r="AM198" s="758" t="s">
        <v>1367</v>
      </c>
      <c r="AN198" s="759" t="str">
        <f t="shared" ref="AN198:AN221" si="112">CONCATENATE(AC198,"：",AD198,"（",AK198,AM198,"）、")</f>
        <v>明：明け（7.25ｈ）、</v>
      </c>
      <c r="AO198" s="582" t="str">
        <f t="shared" ref="AO198:AO221" si="113">IF(AC198="","",AC198)</f>
        <v>明</v>
      </c>
      <c r="AP198" s="760"/>
      <c r="AQ198" s="761">
        <v>7.25</v>
      </c>
      <c r="AR198" s="762">
        <f t="shared" ref="AR198:AR221" si="114">SUM(AP198:AQ198)</f>
        <v>7.25</v>
      </c>
      <c r="AU198" s="753"/>
      <c r="AV198" s="753"/>
    </row>
    <row r="199" spans="1:48" ht="15.9" customHeight="1">
      <c r="A199" s="582"/>
      <c r="E199" s="791" t="s">
        <v>1391</v>
      </c>
      <c r="F199" s="1534">
        <f t="shared" si="105"/>
        <v>0</v>
      </c>
      <c r="G199" s="1535"/>
      <c r="I199" s="1536">
        <f t="shared" si="106"/>
        <v>0</v>
      </c>
      <c r="J199" s="1536"/>
      <c r="K199" s="1536">
        <f t="shared" si="107"/>
        <v>0</v>
      </c>
      <c r="L199" s="1536"/>
      <c r="M199" s="1537">
        <f t="shared" si="108"/>
        <v>0</v>
      </c>
      <c r="N199" s="1524"/>
      <c r="O199" s="755" t="s">
        <v>1382</v>
      </c>
      <c r="P199" s="1524">
        <f t="shared" si="109"/>
        <v>0</v>
      </c>
      <c r="Q199" s="1525"/>
      <c r="S199" s="1538">
        <f t="shared" si="110"/>
        <v>0</v>
      </c>
      <c r="T199" s="1539"/>
      <c r="U199" s="755" t="s">
        <v>1382</v>
      </c>
      <c r="V199" s="1524">
        <f t="shared" si="111"/>
        <v>0</v>
      </c>
      <c r="W199" s="1525"/>
      <c r="Y199" s="744" t="s">
        <v>1392</v>
      </c>
      <c r="Z199" s="1540"/>
      <c r="AA199" s="1540"/>
      <c r="AB199" s="1540"/>
      <c r="AC199" s="793" t="s">
        <v>1314</v>
      </c>
      <c r="AD199" s="1541" t="s">
        <v>1393</v>
      </c>
      <c r="AE199" s="1542"/>
      <c r="AF199" s="1543" t="s">
        <v>1394</v>
      </c>
      <c r="AG199" s="1544"/>
      <c r="AH199" s="764" t="s">
        <v>1365</v>
      </c>
      <c r="AI199" s="1544" t="s">
        <v>1395</v>
      </c>
      <c r="AJ199" s="1545"/>
      <c r="AK199" s="1546">
        <v>7.75</v>
      </c>
      <c r="AL199" s="1547"/>
      <c r="AM199" s="765" t="s">
        <v>1367</v>
      </c>
      <c r="AN199" s="766" t="str">
        <f t="shared" si="112"/>
        <v>①：日勤Ａ（7.75ｈ）、</v>
      </c>
      <c r="AO199" s="582" t="str">
        <f t="shared" si="113"/>
        <v>①</v>
      </c>
      <c r="AP199" s="767">
        <v>0.57999999999999996</v>
      </c>
      <c r="AQ199" s="767">
        <v>0.75</v>
      </c>
      <c r="AR199" s="768">
        <f t="shared" si="114"/>
        <v>1.33</v>
      </c>
      <c r="AU199" s="753"/>
      <c r="AV199" s="753"/>
    </row>
    <row r="200" spans="1:48" ht="15.9" customHeight="1">
      <c r="A200" s="582"/>
      <c r="E200" s="791" t="s">
        <v>1396</v>
      </c>
      <c r="F200" s="1534">
        <f t="shared" si="105"/>
        <v>0</v>
      </c>
      <c r="G200" s="1535"/>
      <c r="I200" s="1536">
        <f t="shared" si="106"/>
        <v>0</v>
      </c>
      <c r="J200" s="1536"/>
      <c r="K200" s="1536">
        <f t="shared" si="107"/>
        <v>0</v>
      </c>
      <c r="L200" s="1536"/>
      <c r="M200" s="1537">
        <f t="shared" si="108"/>
        <v>0</v>
      </c>
      <c r="N200" s="1524"/>
      <c r="O200" s="755" t="s">
        <v>1382</v>
      </c>
      <c r="P200" s="1524">
        <f t="shared" si="109"/>
        <v>0</v>
      </c>
      <c r="Q200" s="1525"/>
      <c r="S200" s="1538">
        <f t="shared" si="110"/>
        <v>0</v>
      </c>
      <c r="T200" s="1539"/>
      <c r="U200" s="755" t="s">
        <v>1382</v>
      </c>
      <c r="V200" s="1524">
        <f t="shared" si="111"/>
        <v>0</v>
      </c>
      <c r="W200" s="1525"/>
      <c r="Y200" s="744" t="s">
        <v>1397</v>
      </c>
      <c r="Z200" s="1526"/>
      <c r="AA200" s="1526"/>
      <c r="AB200" s="1526"/>
      <c r="AC200" s="794" t="s">
        <v>1315</v>
      </c>
      <c r="AD200" s="1527" t="s">
        <v>1398</v>
      </c>
      <c r="AE200" s="1528"/>
      <c r="AF200" s="1529" t="s">
        <v>1399</v>
      </c>
      <c r="AG200" s="1530"/>
      <c r="AH200" s="770" t="s">
        <v>1365</v>
      </c>
      <c r="AI200" s="1530" t="s">
        <v>1400</v>
      </c>
      <c r="AJ200" s="1531"/>
      <c r="AK200" s="1532">
        <v>7.75</v>
      </c>
      <c r="AL200" s="1533"/>
      <c r="AM200" s="771" t="s">
        <v>1367</v>
      </c>
      <c r="AN200" s="772" t="str">
        <f t="shared" si="112"/>
        <v>②：早出（7.75ｈ）、</v>
      </c>
      <c r="AO200" s="582" t="str">
        <f t="shared" si="113"/>
        <v>②</v>
      </c>
      <c r="AP200" s="773">
        <v>2.08</v>
      </c>
      <c r="AQ200" s="773"/>
      <c r="AR200" s="774">
        <f t="shared" si="114"/>
        <v>2.08</v>
      </c>
      <c r="AU200" s="753"/>
      <c r="AV200" s="753"/>
    </row>
    <row r="201" spans="1:48" ht="15.9" customHeight="1">
      <c r="A201" s="582"/>
      <c r="E201" s="795" t="s">
        <v>1401</v>
      </c>
      <c r="F201" s="1534">
        <f t="shared" si="105"/>
        <v>3</v>
      </c>
      <c r="G201" s="1535"/>
      <c r="I201" s="1536">
        <f t="shared" si="106"/>
        <v>2</v>
      </c>
      <c r="J201" s="1536"/>
      <c r="K201" s="1536">
        <f t="shared" si="107"/>
        <v>0.88</v>
      </c>
      <c r="L201" s="1536"/>
      <c r="M201" s="1537">
        <f t="shared" si="108"/>
        <v>2.88</v>
      </c>
      <c r="N201" s="1524"/>
      <c r="O201" s="755" t="s">
        <v>1382</v>
      </c>
      <c r="P201" s="1524">
        <f t="shared" si="109"/>
        <v>2.8</v>
      </c>
      <c r="Q201" s="1525"/>
      <c r="S201" s="1538">
        <f t="shared" si="110"/>
        <v>2.84</v>
      </c>
      <c r="T201" s="1539"/>
      <c r="U201" s="755" t="s">
        <v>1382</v>
      </c>
      <c r="V201" s="1524">
        <f t="shared" si="111"/>
        <v>2.8</v>
      </c>
      <c r="W201" s="1525"/>
      <c r="Y201" s="744" t="s">
        <v>1402</v>
      </c>
      <c r="Z201" s="1526"/>
      <c r="AA201" s="1526"/>
      <c r="AB201" s="1526"/>
      <c r="AC201" s="794" t="s">
        <v>1316</v>
      </c>
      <c r="AD201" s="1527" t="s">
        <v>1403</v>
      </c>
      <c r="AE201" s="1528"/>
      <c r="AF201" s="1529" t="s">
        <v>1404</v>
      </c>
      <c r="AG201" s="1530"/>
      <c r="AH201" s="770" t="s">
        <v>1365</v>
      </c>
      <c r="AI201" s="1530" t="s">
        <v>1405</v>
      </c>
      <c r="AJ201" s="1531"/>
      <c r="AK201" s="1532">
        <v>7.75</v>
      </c>
      <c r="AL201" s="1533"/>
      <c r="AM201" s="771" t="s">
        <v>1367</v>
      </c>
      <c r="AN201" s="772" t="str">
        <f t="shared" si="112"/>
        <v>③：遅出（7.75ｈ）、</v>
      </c>
      <c r="AO201" s="582" t="str">
        <f t="shared" si="113"/>
        <v>③</v>
      </c>
      <c r="AP201" s="773"/>
      <c r="AQ201" s="773">
        <v>2.5</v>
      </c>
      <c r="AR201" s="774">
        <f t="shared" si="114"/>
        <v>2.5</v>
      </c>
      <c r="AU201" s="753"/>
      <c r="AV201" s="753"/>
    </row>
    <row r="202" spans="1:48" ht="15.9" customHeight="1">
      <c r="A202" s="582"/>
      <c r="E202" s="795" t="s">
        <v>1406</v>
      </c>
      <c r="F202" s="1534">
        <f t="shared" si="105"/>
        <v>1</v>
      </c>
      <c r="G202" s="1535"/>
      <c r="I202" s="1536">
        <f t="shared" si="106"/>
        <v>1</v>
      </c>
      <c r="J202" s="1536"/>
      <c r="K202" s="1536">
        <f t="shared" si="107"/>
        <v>0</v>
      </c>
      <c r="L202" s="1536"/>
      <c r="M202" s="1537">
        <f t="shared" si="108"/>
        <v>1</v>
      </c>
      <c r="N202" s="1524"/>
      <c r="O202" s="755" t="s">
        <v>1382</v>
      </c>
      <c r="P202" s="1524">
        <f t="shared" si="109"/>
        <v>1</v>
      </c>
      <c r="Q202" s="1525"/>
      <c r="S202" s="1538">
        <f t="shared" si="110"/>
        <v>0.93</v>
      </c>
      <c r="T202" s="1539"/>
      <c r="U202" s="755" t="s">
        <v>1382</v>
      </c>
      <c r="V202" s="1524">
        <f t="shared" si="111"/>
        <v>0.9</v>
      </c>
      <c r="W202" s="1525"/>
      <c r="Y202" s="744" t="s">
        <v>1407</v>
      </c>
      <c r="Z202" s="1526"/>
      <c r="AA202" s="1526"/>
      <c r="AB202" s="1526"/>
      <c r="AC202" s="794" t="s">
        <v>1408</v>
      </c>
      <c r="AD202" s="1527" t="s">
        <v>1409</v>
      </c>
      <c r="AE202" s="1528"/>
      <c r="AF202" s="1529" t="s">
        <v>1394</v>
      </c>
      <c r="AG202" s="1530"/>
      <c r="AH202" s="770" t="s">
        <v>1365</v>
      </c>
      <c r="AI202" s="1530" t="s">
        <v>1410</v>
      </c>
      <c r="AJ202" s="1531"/>
      <c r="AK202" s="1532">
        <v>4</v>
      </c>
      <c r="AL202" s="1533"/>
      <c r="AM202" s="771" t="s">
        <v>1367</v>
      </c>
      <c r="AN202" s="772" t="str">
        <f t="shared" si="112"/>
        <v>⑤：午前Ａ（4ｈ）、</v>
      </c>
      <c r="AO202" s="683" t="str">
        <f t="shared" si="113"/>
        <v>⑤</v>
      </c>
      <c r="AP202" s="773">
        <v>0.57999999999999996</v>
      </c>
      <c r="AQ202" s="773"/>
      <c r="AR202" s="774">
        <f t="shared" si="114"/>
        <v>0.57999999999999996</v>
      </c>
      <c r="AU202" s="753"/>
      <c r="AV202" s="753"/>
    </row>
    <row r="203" spans="1:48" ht="15.9" customHeight="1">
      <c r="A203" s="582"/>
      <c r="E203" s="791" t="s">
        <v>1411</v>
      </c>
      <c r="F203" s="1534">
        <f t="shared" si="105"/>
        <v>0</v>
      </c>
      <c r="G203" s="1535"/>
      <c r="I203" s="1536">
        <f t="shared" si="106"/>
        <v>0</v>
      </c>
      <c r="J203" s="1536"/>
      <c r="K203" s="1536">
        <f t="shared" si="107"/>
        <v>0</v>
      </c>
      <c r="L203" s="1536"/>
      <c r="M203" s="1537">
        <f t="shared" si="108"/>
        <v>0</v>
      </c>
      <c r="N203" s="1524"/>
      <c r="O203" s="755" t="s">
        <v>1382</v>
      </c>
      <c r="P203" s="1524">
        <f t="shared" si="109"/>
        <v>0</v>
      </c>
      <c r="Q203" s="1525"/>
      <c r="S203" s="1538">
        <f t="shared" si="110"/>
        <v>0</v>
      </c>
      <c r="T203" s="1539"/>
      <c r="U203" s="755" t="s">
        <v>1382</v>
      </c>
      <c r="V203" s="1524">
        <f t="shared" si="111"/>
        <v>0</v>
      </c>
      <c r="W203" s="1525"/>
      <c r="Y203" s="744" t="s">
        <v>1412</v>
      </c>
      <c r="Z203" s="1526"/>
      <c r="AA203" s="1526"/>
      <c r="AB203" s="1526"/>
      <c r="AC203" s="794" t="s">
        <v>1413</v>
      </c>
      <c r="AD203" s="1527" t="s">
        <v>1414</v>
      </c>
      <c r="AE203" s="1528"/>
      <c r="AF203" s="1529" t="s">
        <v>1415</v>
      </c>
      <c r="AG203" s="1530"/>
      <c r="AH203" s="770" t="s">
        <v>1365</v>
      </c>
      <c r="AI203" s="1530" t="s">
        <v>1416</v>
      </c>
      <c r="AJ203" s="1531"/>
      <c r="AK203" s="1532">
        <v>4</v>
      </c>
      <c r="AL203" s="1533"/>
      <c r="AM203" s="771" t="s">
        <v>1367</v>
      </c>
      <c r="AN203" s="772" t="str">
        <f t="shared" si="112"/>
        <v>⑥：午後Ａ（4ｈ）、</v>
      </c>
      <c r="AO203" s="683" t="str">
        <f t="shared" si="113"/>
        <v>⑥</v>
      </c>
      <c r="AP203" s="773"/>
      <c r="AQ203" s="773">
        <v>1</v>
      </c>
      <c r="AR203" s="774">
        <f t="shared" si="114"/>
        <v>1</v>
      </c>
      <c r="AU203" s="753"/>
      <c r="AV203" s="753"/>
    </row>
    <row r="204" spans="1:48" ht="15.9" customHeight="1">
      <c r="A204" s="582"/>
      <c r="E204" s="791" t="s">
        <v>1417</v>
      </c>
      <c r="F204" s="1534">
        <f t="shared" si="105"/>
        <v>0</v>
      </c>
      <c r="G204" s="1535"/>
      <c r="I204" s="1536">
        <f t="shared" si="106"/>
        <v>0</v>
      </c>
      <c r="J204" s="1536"/>
      <c r="K204" s="1536">
        <f t="shared" si="107"/>
        <v>0</v>
      </c>
      <c r="L204" s="1536"/>
      <c r="M204" s="1537">
        <f t="shared" si="108"/>
        <v>0</v>
      </c>
      <c r="N204" s="1524"/>
      <c r="O204" s="755" t="s">
        <v>1382</v>
      </c>
      <c r="P204" s="1524">
        <f t="shared" si="109"/>
        <v>0</v>
      </c>
      <c r="Q204" s="1525"/>
      <c r="S204" s="1538">
        <f t="shared" si="110"/>
        <v>0</v>
      </c>
      <c r="T204" s="1539"/>
      <c r="U204" s="755" t="s">
        <v>1382</v>
      </c>
      <c r="V204" s="1524">
        <f t="shared" si="111"/>
        <v>0</v>
      </c>
      <c r="W204" s="1525"/>
      <c r="Y204" s="744" t="s">
        <v>1418</v>
      </c>
      <c r="Z204" s="1526"/>
      <c r="AA204" s="1526"/>
      <c r="AB204" s="1526"/>
      <c r="AC204" s="794" t="s">
        <v>1419</v>
      </c>
      <c r="AD204" s="1527" t="s">
        <v>1420</v>
      </c>
      <c r="AE204" s="1528"/>
      <c r="AF204" s="1529" t="s">
        <v>1421</v>
      </c>
      <c r="AG204" s="1530"/>
      <c r="AH204" s="770" t="s">
        <v>1365</v>
      </c>
      <c r="AI204" s="1530" t="s">
        <v>1422</v>
      </c>
      <c r="AJ204" s="1531"/>
      <c r="AK204" s="1532">
        <v>7</v>
      </c>
      <c r="AL204" s="1533"/>
      <c r="AM204" s="771" t="s">
        <v>1367</v>
      </c>
      <c r="AN204" s="772" t="str">
        <f t="shared" si="112"/>
        <v>⑦：日勤Ｂ（7ｈ）、</v>
      </c>
      <c r="AO204" s="683" t="str">
        <f t="shared" si="113"/>
        <v>⑦</v>
      </c>
      <c r="AP204" s="773">
        <v>0.25</v>
      </c>
      <c r="AQ204" s="773">
        <v>0.5</v>
      </c>
      <c r="AR204" s="774">
        <f t="shared" si="114"/>
        <v>0.75</v>
      </c>
      <c r="AU204" s="753"/>
      <c r="AV204" s="753"/>
    </row>
    <row r="205" spans="1:48" ht="15.9" customHeight="1">
      <c r="A205" s="582"/>
      <c r="E205" s="791" t="s">
        <v>1423</v>
      </c>
      <c r="F205" s="1534">
        <f t="shared" si="105"/>
        <v>0</v>
      </c>
      <c r="G205" s="1535"/>
      <c r="I205" s="1536">
        <f t="shared" si="106"/>
        <v>0</v>
      </c>
      <c r="J205" s="1536"/>
      <c r="K205" s="1536">
        <f t="shared" si="107"/>
        <v>0</v>
      </c>
      <c r="L205" s="1536"/>
      <c r="M205" s="1537">
        <f t="shared" si="108"/>
        <v>0</v>
      </c>
      <c r="N205" s="1524"/>
      <c r="O205" s="755" t="s">
        <v>1382</v>
      </c>
      <c r="P205" s="1524">
        <f t="shared" si="109"/>
        <v>0</v>
      </c>
      <c r="Q205" s="1525"/>
      <c r="S205" s="1538">
        <f t="shared" si="110"/>
        <v>0</v>
      </c>
      <c r="T205" s="1539"/>
      <c r="U205" s="755" t="s">
        <v>1382</v>
      </c>
      <c r="V205" s="1524">
        <f t="shared" si="111"/>
        <v>0</v>
      </c>
      <c r="W205" s="1525"/>
      <c r="Y205" s="744" t="s">
        <v>1424</v>
      </c>
      <c r="Z205" s="1526"/>
      <c r="AA205" s="1526"/>
      <c r="AB205" s="1526"/>
      <c r="AC205" s="794" t="s">
        <v>1425</v>
      </c>
      <c r="AD205" s="1527" t="s">
        <v>1426</v>
      </c>
      <c r="AE205" s="1528"/>
      <c r="AF205" s="1529" t="s">
        <v>1421</v>
      </c>
      <c r="AG205" s="1530"/>
      <c r="AH205" s="770" t="s">
        <v>1365</v>
      </c>
      <c r="AI205" s="1530" t="s">
        <v>1427</v>
      </c>
      <c r="AJ205" s="1531"/>
      <c r="AK205" s="1532">
        <v>4</v>
      </c>
      <c r="AL205" s="1533"/>
      <c r="AM205" s="771" t="s">
        <v>1367</v>
      </c>
      <c r="AN205" s="772" t="str">
        <f t="shared" si="112"/>
        <v>⑧：午前Ｂ（4ｈ）、</v>
      </c>
      <c r="AO205" s="683" t="str">
        <f t="shared" si="113"/>
        <v>⑧</v>
      </c>
      <c r="AP205" s="773">
        <v>0.25</v>
      </c>
      <c r="AQ205" s="773"/>
      <c r="AR205" s="774">
        <f t="shared" si="114"/>
        <v>0.25</v>
      </c>
      <c r="AU205" s="753"/>
      <c r="AV205" s="753"/>
    </row>
    <row r="206" spans="1:48" ht="15.9" customHeight="1">
      <c r="A206" s="582"/>
      <c r="E206" s="791" t="s">
        <v>1428</v>
      </c>
      <c r="F206" s="1534">
        <f t="shared" si="105"/>
        <v>0</v>
      </c>
      <c r="G206" s="1535"/>
      <c r="I206" s="1536">
        <f t="shared" si="106"/>
        <v>0</v>
      </c>
      <c r="J206" s="1536"/>
      <c r="K206" s="1536">
        <f t="shared" si="107"/>
        <v>0</v>
      </c>
      <c r="L206" s="1536"/>
      <c r="M206" s="1537">
        <f t="shared" si="108"/>
        <v>0</v>
      </c>
      <c r="N206" s="1524"/>
      <c r="O206" s="755" t="s">
        <v>1382</v>
      </c>
      <c r="P206" s="1524">
        <f t="shared" si="109"/>
        <v>0</v>
      </c>
      <c r="Q206" s="1525"/>
      <c r="S206" s="1538">
        <f t="shared" si="110"/>
        <v>0</v>
      </c>
      <c r="T206" s="1539"/>
      <c r="U206" s="755" t="s">
        <v>1382</v>
      </c>
      <c r="V206" s="1524">
        <f t="shared" si="111"/>
        <v>0</v>
      </c>
      <c r="W206" s="1525"/>
      <c r="Y206" s="744" t="s">
        <v>1429</v>
      </c>
      <c r="Z206" s="1526"/>
      <c r="AA206" s="1526"/>
      <c r="AB206" s="1526"/>
      <c r="AC206" s="794" t="s">
        <v>1430</v>
      </c>
      <c r="AD206" s="1527" t="s">
        <v>1431</v>
      </c>
      <c r="AE206" s="1528"/>
      <c r="AF206" s="1529" t="s">
        <v>1427</v>
      </c>
      <c r="AG206" s="1530"/>
      <c r="AH206" s="770" t="s">
        <v>1365</v>
      </c>
      <c r="AI206" s="1530" t="s">
        <v>1422</v>
      </c>
      <c r="AJ206" s="1531"/>
      <c r="AK206" s="1532">
        <v>4</v>
      </c>
      <c r="AL206" s="1533"/>
      <c r="AM206" s="771" t="s">
        <v>1367</v>
      </c>
      <c r="AN206" s="772" t="str">
        <f t="shared" si="112"/>
        <v>⑨：午後Ｂ（4ｈ）、</v>
      </c>
      <c r="AO206" s="683" t="str">
        <f t="shared" si="113"/>
        <v>⑨</v>
      </c>
      <c r="AP206" s="773"/>
      <c r="AQ206" s="773">
        <v>0.5</v>
      </c>
      <c r="AR206" s="774">
        <f t="shared" si="114"/>
        <v>0.5</v>
      </c>
      <c r="AU206" s="753"/>
      <c r="AV206" s="753"/>
    </row>
    <row r="207" spans="1:48" ht="15.9" customHeight="1">
      <c r="A207" s="582"/>
      <c r="E207" s="791" t="s">
        <v>1432</v>
      </c>
      <c r="F207" s="1534">
        <f t="shared" si="105"/>
        <v>0</v>
      </c>
      <c r="G207" s="1535"/>
      <c r="I207" s="1536">
        <f t="shared" si="106"/>
        <v>0</v>
      </c>
      <c r="J207" s="1536"/>
      <c r="K207" s="1536">
        <f t="shared" si="107"/>
        <v>0</v>
      </c>
      <c r="L207" s="1536"/>
      <c r="M207" s="1537">
        <f t="shared" si="108"/>
        <v>0</v>
      </c>
      <c r="N207" s="1524"/>
      <c r="O207" s="755" t="s">
        <v>1382</v>
      </c>
      <c r="P207" s="1524">
        <f t="shared" si="109"/>
        <v>0</v>
      </c>
      <c r="Q207" s="1525"/>
      <c r="S207" s="1538">
        <f t="shared" si="110"/>
        <v>0</v>
      </c>
      <c r="T207" s="1539"/>
      <c r="U207" s="755" t="s">
        <v>1382</v>
      </c>
      <c r="V207" s="1524">
        <f t="shared" si="111"/>
        <v>0</v>
      </c>
      <c r="W207" s="1525"/>
      <c r="Y207" s="744" t="s">
        <v>1433</v>
      </c>
      <c r="Z207" s="1526"/>
      <c r="AA207" s="1526"/>
      <c r="AB207" s="1526"/>
      <c r="AC207" s="794" t="s">
        <v>1434</v>
      </c>
      <c r="AD207" s="1527" t="s">
        <v>1435</v>
      </c>
      <c r="AE207" s="1528"/>
      <c r="AF207" s="1529" t="s">
        <v>1404</v>
      </c>
      <c r="AG207" s="1530"/>
      <c r="AH207" s="770" t="s">
        <v>1365</v>
      </c>
      <c r="AI207" s="1530" t="s">
        <v>1436</v>
      </c>
      <c r="AJ207" s="1531"/>
      <c r="AK207" s="1532">
        <v>4</v>
      </c>
      <c r="AL207" s="1533"/>
      <c r="AM207" s="771" t="s">
        <v>1367</v>
      </c>
      <c r="AN207" s="772" t="str">
        <f t="shared" si="112"/>
        <v>⑩：午後Ｃ（4ｈ）、</v>
      </c>
      <c r="AO207" s="683" t="str">
        <f t="shared" si="113"/>
        <v>⑩</v>
      </c>
      <c r="AP207" s="773"/>
      <c r="AQ207" s="773"/>
      <c r="AR207" s="774">
        <f t="shared" si="114"/>
        <v>0</v>
      </c>
      <c r="AU207" s="753"/>
      <c r="AV207" s="753"/>
    </row>
    <row r="208" spans="1:48" ht="15.9" customHeight="1">
      <c r="A208" s="582"/>
      <c r="E208" s="791" t="s">
        <v>1437</v>
      </c>
      <c r="F208" s="1534">
        <f t="shared" si="105"/>
        <v>0</v>
      </c>
      <c r="G208" s="1535"/>
      <c r="I208" s="1536">
        <f t="shared" si="106"/>
        <v>0</v>
      </c>
      <c r="J208" s="1536"/>
      <c r="K208" s="1536">
        <f t="shared" si="107"/>
        <v>0</v>
      </c>
      <c r="L208" s="1536"/>
      <c r="M208" s="1537">
        <f t="shared" si="108"/>
        <v>0</v>
      </c>
      <c r="N208" s="1524"/>
      <c r="O208" s="755" t="s">
        <v>1382</v>
      </c>
      <c r="P208" s="1524">
        <f t="shared" si="109"/>
        <v>0</v>
      </c>
      <c r="Q208" s="1525"/>
      <c r="S208" s="1538">
        <f t="shared" si="110"/>
        <v>0</v>
      </c>
      <c r="T208" s="1539"/>
      <c r="U208" s="755" t="s">
        <v>1382</v>
      </c>
      <c r="V208" s="1524">
        <f t="shared" si="111"/>
        <v>0</v>
      </c>
      <c r="W208" s="1525"/>
      <c r="Y208" s="744" t="s">
        <v>1438</v>
      </c>
      <c r="Z208" s="1526"/>
      <c r="AA208" s="1526"/>
      <c r="AB208" s="1526"/>
      <c r="AC208" s="794" t="s">
        <v>1439</v>
      </c>
      <c r="AD208" s="1527" t="s">
        <v>1440</v>
      </c>
      <c r="AE208" s="1528"/>
      <c r="AF208" s="1529" t="s">
        <v>1441</v>
      </c>
      <c r="AG208" s="1530"/>
      <c r="AH208" s="770" t="s">
        <v>1365</v>
      </c>
      <c r="AI208" s="1530" t="s">
        <v>1405</v>
      </c>
      <c r="AJ208" s="1531"/>
      <c r="AK208" s="1532">
        <v>4</v>
      </c>
      <c r="AL208" s="1533"/>
      <c r="AM208" s="771" t="s">
        <v>1367</v>
      </c>
      <c r="AN208" s="772" t="str">
        <f t="shared" si="112"/>
        <v>⑪：午後Ｄ（4ｈ）、</v>
      </c>
      <c r="AO208" s="683" t="str">
        <f t="shared" si="113"/>
        <v>⑪</v>
      </c>
      <c r="AP208" s="773"/>
      <c r="AQ208" s="773">
        <v>3.5</v>
      </c>
      <c r="AR208" s="774">
        <f t="shared" si="114"/>
        <v>3.5</v>
      </c>
      <c r="AU208" s="753"/>
      <c r="AV208" s="753"/>
    </row>
    <row r="209" spans="1:48" ht="15.9" customHeight="1">
      <c r="A209" s="582"/>
      <c r="E209" s="791" t="s">
        <v>1442</v>
      </c>
      <c r="F209" s="1534">
        <f t="shared" si="105"/>
        <v>0</v>
      </c>
      <c r="G209" s="1535"/>
      <c r="I209" s="1536">
        <f t="shared" si="106"/>
        <v>0</v>
      </c>
      <c r="J209" s="1536"/>
      <c r="K209" s="1536">
        <f t="shared" si="107"/>
        <v>0</v>
      </c>
      <c r="L209" s="1536"/>
      <c r="M209" s="1537">
        <f t="shared" si="108"/>
        <v>0</v>
      </c>
      <c r="N209" s="1524"/>
      <c r="O209" s="755" t="s">
        <v>1382</v>
      </c>
      <c r="P209" s="1524">
        <f t="shared" si="109"/>
        <v>0</v>
      </c>
      <c r="Q209" s="1525"/>
      <c r="S209" s="1538">
        <f t="shared" si="110"/>
        <v>0</v>
      </c>
      <c r="T209" s="1539"/>
      <c r="U209" s="755" t="s">
        <v>1382</v>
      </c>
      <c r="V209" s="1524">
        <f t="shared" si="111"/>
        <v>0</v>
      </c>
      <c r="W209" s="1525"/>
      <c r="Y209" s="744" t="s">
        <v>1443</v>
      </c>
      <c r="Z209" s="1526"/>
      <c r="AA209" s="1526"/>
      <c r="AB209" s="1526"/>
      <c r="AC209" s="794" t="s">
        <v>1444</v>
      </c>
      <c r="AD209" s="1527" t="s">
        <v>1445</v>
      </c>
      <c r="AE209" s="1528"/>
      <c r="AF209" s="1529" t="s">
        <v>1394</v>
      </c>
      <c r="AG209" s="1530"/>
      <c r="AH209" s="770" t="s">
        <v>1365</v>
      </c>
      <c r="AI209" s="1530" t="s">
        <v>1422</v>
      </c>
      <c r="AJ209" s="1531"/>
      <c r="AK209" s="1532">
        <v>7.5</v>
      </c>
      <c r="AL209" s="1533"/>
      <c r="AM209" s="771" t="s">
        <v>1367</v>
      </c>
      <c r="AN209" s="772" t="str">
        <f t="shared" si="112"/>
        <v>⑱：日勤Ｃ（7.5ｈ）、</v>
      </c>
      <c r="AO209" s="683" t="str">
        <f t="shared" si="113"/>
        <v>⑱</v>
      </c>
      <c r="AP209" s="773">
        <v>0.57999999999999996</v>
      </c>
      <c r="AQ209" s="773">
        <v>0.5</v>
      </c>
      <c r="AR209" s="774">
        <f t="shared" si="114"/>
        <v>1.08</v>
      </c>
      <c r="AU209" s="753"/>
      <c r="AV209" s="753"/>
    </row>
    <row r="210" spans="1:48" ht="15.9" customHeight="1">
      <c r="A210" s="582"/>
      <c r="E210" s="791" t="s">
        <v>1446</v>
      </c>
      <c r="F210" s="1534">
        <f t="shared" si="105"/>
        <v>0</v>
      </c>
      <c r="G210" s="1535"/>
      <c r="I210" s="1536">
        <f t="shared" si="106"/>
        <v>0</v>
      </c>
      <c r="J210" s="1536"/>
      <c r="K210" s="1536">
        <f t="shared" si="107"/>
        <v>0</v>
      </c>
      <c r="L210" s="1536"/>
      <c r="M210" s="1537">
        <f t="shared" si="108"/>
        <v>0</v>
      </c>
      <c r="N210" s="1524"/>
      <c r="O210" s="755" t="s">
        <v>1382</v>
      </c>
      <c r="P210" s="1524">
        <f t="shared" si="109"/>
        <v>0</v>
      </c>
      <c r="Q210" s="1525"/>
      <c r="S210" s="1538">
        <f t="shared" si="110"/>
        <v>0</v>
      </c>
      <c r="T210" s="1539"/>
      <c r="U210" s="755" t="s">
        <v>1382</v>
      </c>
      <c r="V210" s="1524">
        <f t="shared" si="111"/>
        <v>0</v>
      </c>
      <c r="W210" s="1525"/>
      <c r="Y210" s="744" t="s">
        <v>1447</v>
      </c>
      <c r="Z210" s="1526"/>
      <c r="AA210" s="1526"/>
      <c r="AB210" s="1526"/>
      <c r="AC210" s="794" t="s">
        <v>1448</v>
      </c>
      <c r="AD210" s="1527" t="s">
        <v>1449</v>
      </c>
      <c r="AE210" s="1528"/>
      <c r="AF210" s="1529" t="s">
        <v>1421</v>
      </c>
      <c r="AG210" s="1530"/>
      <c r="AH210" s="770" t="s">
        <v>1365</v>
      </c>
      <c r="AI210" s="1530" t="s">
        <v>1427</v>
      </c>
      <c r="AJ210" s="1531"/>
      <c r="AK210" s="1532">
        <v>4</v>
      </c>
      <c r="AL210" s="1533"/>
      <c r="AM210" s="771" t="s">
        <v>1367</v>
      </c>
      <c r="AN210" s="772" t="str">
        <f t="shared" si="112"/>
        <v>⑲：午前Ｃ（4ｈ）、</v>
      </c>
      <c r="AO210" s="683" t="str">
        <f t="shared" si="113"/>
        <v>⑲</v>
      </c>
      <c r="AP210" s="773">
        <v>0.25</v>
      </c>
      <c r="AQ210" s="773"/>
      <c r="AR210" s="774">
        <f t="shared" si="114"/>
        <v>0.25</v>
      </c>
      <c r="AU210" s="753"/>
      <c r="AV210" s="753"/>
    </row>
    <row r="211" spans="1:48" ht="15.9" customHeight="1">
      <c r="A211" s="582"/>
      <c r="E211" s="791" t="s">
        <v>1450</v>
      </c>
      <c r="F211" s="1534">
        <f t="shared" si="105"/>
        <v>0</v>
      </c>
      <c r="G211" s="1535"/>
      <c r="I211" s="1536">
        <f t="shared" si="106"/>
        <v>0</v>
      </c>
      <c r="J211" s="1536"/>
      <c r="K211" s="1536">
        <f t="shared" si="107"/>
        <v>0</v>
      </c>
      <c r="L211" s="1536"/>
      <c r="M211" s="1537">
        <f t="shared" si="108"/>
        <v>0</v>
      </c>
      <c r="N211" s="1524"/>
      <c r="O211" s="755" t="s">
        <v>1382</v>
      </c>
      <c r="P211" s="1524">
        <f t="shared" si="109"/>
        <v>0</v>
      </c>
      <c r="Q211" s="1525"/>
      <c r="S211" s="1538">
        <f t="shared" si="110"/>
        <v>0</v>
      </c>
      <c r="T211" s="1539"/>
      <c r="U211" s="755" t="s">
        <v>1382</v>
      </c>
      <c r="V211" s="1524">
        <f t="shared" si="111"/>
        <v>0</v>
      </c>
      <c r="W211" s="1525"/>
      <c r="Y211" s="744" t="s">
        <v>1451</v>
      </c>
      <c r="Z211" s="1526"/>
      <c r="AA211" s="1526"/>
      <c r="AB211" s="1526"/>
      <c r="AC211" s="794" t="s">
        <v>1452</v>
      </c>
      <c r="AD211" s="1527" t="s">
        <v>1453</v>
      </c>
      <c r="AE211" s="1528"/>
      <c r="AF211" s="1529" t="s">
        <v>1399</v>
      </c>
      <c r="AG211" s="1530"/>
      <c r="AH211" s="770" t="s">
        <v>1365</v>
      </c>
      <c r="AI211" s="1530" t="s">
        <v>1454</v>
      </c>
      <c r="AJ211" s="1531"/>
      <c r="AK211" s="1532">
        <v>4</v>
      </c>
      <c r="AL211" s="1533"/>
      <c r="AM211" s="771" t="s">
        <v>1367</v>
      </c>
      <c r="AN211" s="772" t="str">
        <f t="shared" si="112"/>
        <v>⑳：午前Ｄ（4ｈ）、</v>
      </c>
      <c r="AO211" s="683" t="str">
        <f t="shared" si="113"/>
        <v>⑳</v>
      </c>
      <c r="AP211" s="773">
        <v>2.08</v>
      </c>
      <c r="AQ211" s="773"/>
      <c r="AR211" s="774">
        <f t="shared" si="114"/>
        <v>2.08</v>
      </c>
      <c r="AU211" s="753"/>
      <c r="AV211" s="753"/>
    </row>
    <row r="212" spans="1:48" ht="15.9" customHeight="1">
      <c r="A212" s="582"/>
      <c r="E212" s="791" t="s">
        <v>1455</v>
      </c>
      <c r="F212" s="1534">
        <f t="shared" si="105"/>
        <v>0</v>
      </c>
      <c r="G212" s="1535"/>
      <c r="I212" s="1536">
        <f t="shared" si="106"/>
        <v>0</v>
      </c>
      <c r="J212" s="1536"/>
      <c r="K212" s="1536">
        <f t="shared" si="107"/>
        <v>0</v>
      </c>
      <c r="L212" s="1536"/>
      <c r="M212" s="1537">
        <f t="shared" si="108"/>
        <v>0</v>
      </c>
      <c r="N212" s="1524"/>
      <c r="O212" s="755" t="s">
        <v>1382</v>
      </c>
      <c r="P212" s="1524">
        <f t="shared" si="109"/>
        <v>0</v>
      </c>
      <c r="Q212" s="1525"/>
      <c r="S212" s="1538">
        <f t="shared" si="110"/>
        <v>0</v>
      </c>
      <c r="T212" s="1539"/>
      <c r="U212" s="755" t="s">
        <v>1382</v>
      </c>
      <c r="V212" s="1524">
        <f t="shared" si="111"/>
        <v>0</v>
      </c>
      <c r="W212" s="1525"/>
      <c r="Y212" s="744" t="s">
        <v>1456</v>
      </c>
      <c r="Z212" s="1526"/>
      <c r="AA212" s="1526"/>
      <c r="AB212" s="1526"/>
      <c r="AC212" s="794" t="s">
        <v>1457</v>
      </c>
      <c r="AD212" s="1527" t="s">
        <v>1458</v>
      </c>
      <c r="AE212" s="1528"/>
      <c r="AF212" s="1529"/>
      <c r="AG212" s="1530"/>
      <c r="AH212" s="770" t="s">
        <v>1365</v>
      </c>
      <c r="AI212" s="1530"/>
      <c r="AJ212" s="1531"/>
      <c r="AK212" s="1532"/>
      <c r="AL212" s="1533"/>
      <c r="AM212" s="771" t="s">
        <v>1367</v>
      </c>
      <c r="AN212" s="772" t="str">
        <f t="shared" si="112"/>
        <v>公：公休（ｈ）、</v>
      </c>
      <c r="AO212" s="683" t="str">
        <f t="shared" si="113"/>
        <v>公</v>
      </c>
      <c r="AP212" s="773"/>
      <c r="AQ212" s="773"/>
      <c r="AR212" s="774">
        <f t="shared" si="114"/>
        <v>0</v>
      </c>
      <c r="AU212" s="753"/>
      <c r="AV212" s="753"/>
    </row>
    <row r="213" spans="1:48" ht="15.9" customHeight="1">
      <c r="A213" s="582"/>
      <c r="E213" s="791" t="s">
        <v>1459</v>
      </c>
      <c r="F213" s="1534">
        <f t="shared" si="105"/>
        <v>0</v>
      </c>
      <c r="G213" s="1535"/>
      <c r="I213" s="1536">
        <f t="shared" si="106"/>
        <v>0</v>
      </c>
      <c r="J213" s="1536"/>
      <c r="K213" s="1536">
        <f t="shared" si="107"/>
        <v>0</v>
      </c>
      <c r="L213" s="1536"/>
      <c r="M213" s="1537">
        <f t="shared" si="108"/>
        <v>0</v>
      </c>
      <c r="N213" s="1524"/>
      <c r="O213" s="755" t="s">
        <v>1382</v>
      </c>
      <c r="P213" s="1524">
        <f t="shared" si="109"/>
        <v>0</v>
      </c>
      <c r="Q213" s="1525"/>
      <c r="S213" s="1538">
        <f t="shared" si="110"/>
        <v>0</v>
      </c>
      <c r="T213" s="1539"/>
      <c r="U213" s="755" t="s">
        <v>1382</v>
      </c>
      <c r="V213" s="1524">
        <f t="shared" si="111"/>
        <v>0</v>
      </c>
      <c r="W213" s="1525"/>
      <c r="Y213" s="744" t="s">
        <v>1460</v>
      </c>
      <c r="Z213" s="1526"/>
      <c r="AA213" s="1526"/>
      <c r="AB213" s="1526"/>
      <c r="AC213" s="794" t="s">
        <v>1461</v>
      </c>
      <c r="AD213" s="1527" t="s">
        <v>1462</v>
      </c>
      <c r="AE213" s="1528"/>
      <c r="AF213" s="1529"/>
      <c r="AG213" s="1530"/>
      <c r="AH213" s="770" t="s">
        <v>1365</v>
      </c>
      <c r="AI213" s="1530"/>
      <c r="AJ213" s="1531"/>
      <c r="AK213" s="1532"/>
      <c r="AL213" s="1533"/>
      <c r="AM213" s="771" t="s">
        <v>1367</v>
      </c>
      <c r="AN213" s="772" t="str">
        <f t="shared" si="112"/>
        <v>有：有休（ｈ）、</v>
      </c>
      <c r="AO213" s="683" t="str">
        <f t="shared" si="113"/>
        <v>有</v>
      </c>
      <c r="AP213" s="773"/>
      <c r="AQ213" s="773"/>
      <c r="AR213" s="774">
        <f t="shared" si="114"/>
        <v>0</v>
      </c>
      <c r="AU213" s="753"/>
      <c r="AV213" s="753"/>
    </row>
    <row r="214" spans="1:48" ht="15.9" customHeight="1">
      <c r="A214" s="582"/>
      <c r="E214" s="791" t="s">
        <v>1463</v>
      </c>
      <c r="F214" s="1534">
        <f t="shared" si="105"/>
        <v>0</v>
      </c>
      <c r="G214" s="1535"/>
      <c r="I214" s="1536">
        <f t="shared" si="106"/>
        <v>0</v>
      </c>
      <c r="J214" s="1536"/>
      <c r="K214" s="1536">
        <f t="shared" si="107"/>
        <v>0</v>
      </c>
      <c r="L214" s="1536"/>
      <c r="M214" s="1537">
        <f t="shared" si="108"/>
        <v>0</v>
      </c>
      <c r="N214" s="1524"/>
      <c r="O214" s="755" t="s">
        <v>1382</v>
      </c>
      <c r="P214" s="1524">
        <f t="shared" si="109"/>
        <v>0</v>
      </c>
      <c r="Q214" s="1525"/>
      <c r="S214" s="1538">
        <f t="shared" si="110"/>
        <v>0</v>
      </c>
      <c r="T214" s="1539"/>
      <c r="U214" s="755" t="s">
        <v>1382</v>
      </c>
      <c r="V214" s="1524">
        <f t="shared" si="111"/>
        <v>0</v>
      </c>
      <c r="W214" s="1525"/>
      <c r="Y214" s="744" t="s">
        <v>1464</v>
      </c>
      <c r="Z214" s="1526"/>
      <c r="AA214" s="1526"/>
      <c r="AB214" s="1526"/>
      <c r="AC214" s="794" t="s">
        <v>1465</v>
      </c>
      <c r="AD214" s="1527" t="s">
        <v>1466</v>
      </c>
      <c r="AE214" s="1528"/>
      <c r="AF214" s="1529"/>
      <c r="AG214" s="1530"/>
      <c r="AH214" s="770" t="s">
        <v>1365</v>
      </c>
      <c r="AI214" s="1530"/>
      <c r="AJ214" s="1531"/>
      <c r="AK214" s="1532"/>
      <c r="AL214" s="1533"/>
      <c r="AM214" s="771" t="s">
        <v>1367</v>
      </c>
      <c r="AN214" s="772" t="str">
        <f t="shared" si="112"/>
        <v>欠：欠勤（ｈ）、</v>
      </c>
      <c r="AO214" s="683" t="str">
        <f t="shared" si="113"/>
        <v>欠</v>
      </c>
      <c r="AP214" s="773"/>
      <c r="AQ214" s="773"/>
      <c r="AR214" s="774">
        <f t="shared" si="114"/>
        <v>0</v>
      </c>
      <c r="AU214" s="753"/>
      <c r="AV214" s="753"/>
    </row>
    <row r="215" spans="1:48" ht="15.9" customHeight="1">
      <c r="A215" s="582"/>
      <c r="E215" s="791"/>
      <c r="F215" s="1534" t="str">
        <f t="shared" si="105"/>
        <v/>
      </c>
      <c r="G215" s="1535"/>
      <c r="I215" s="1536">
        <f t="shared" si="106"/>
        <v>0</v>
      </c>
      <c r="J215" s="1536"/>
      <c r="K215" s="1536">
        <f t="shared" si="107"/>
        <v>0</v>
      </c>
      <c r="L215" s="1536"/>
      <c r="M215" s="1537">
        <f t="shared" si="108"/>
        <v>0</v>
      </c>
      <c r="N215" s="1524"/>
      <c r="O215" s="755" t="s">
        <v>1382</v>
      </c>
      <c r="P215" s="1524">
        <f t="shared" si="109"/>
        <v>0</v>
      </c>
      <c r="Q215" s="1525"/>
      <c r="S215" s="1538">
        <f t="shared" si="110"/>
        <v>0</v>
      </c>
      <c r="T215" s="1539"/>
      <c r="U215" s="755" t="s">
        <v>1382</v>
      </c>
      <c r="V215" s="1524">
        <f t="shared" si="111"/>
        <v>0</v>
      </c>
      <c r="W215" s="1525"/>
      <c r="Y215" s="744" t="s">
        <v>1467</v>
      </c>
      <c r="Z215" s="1526"/>
      <c r="AA215" s="1526"/>
      <c r="AB215" s="1526"/>
      <c r="AC215" s="794" t="s">
        <v>1468</v>
      </c>
      <c r="AD215" s="1527" t="s">
        <v>1469</v>
      </c>
      <c r="AE215" s="1528"/>
      <c r="AF215" s="1529"/>
      <c r="AG215" s="1530"/>
      <c r="AH215" s="770" t="s">
        <v>1365</v>
      </c>
      <c r="AI215" s="1530"/>
      <c r="AJ215" s="1531"/>
      <c r="AK215" s="1532"/>
      <c r="AL215" s="1533"/>
      <c r="AM215" s="771" t="s">
        <v>1367</v>
      </c>
      <c r="AN215" s="772" t="str">
        <f t="shared" si="112"/>
        <v>特：特休（ｈ）、</v>
      </c>
      <c r="AO215" s="683" t="str">
        <f t="shared" si="113"/>
        <v>特</v>
      </c>
      <c r="AP215" s="773"/>
      <c r="AQ215" s="773"/>
      <c r="AR215" s="774">
        <f t="shared" si="114"/>
        <v>0</v>
      </c>
      <c r="AU215" s="753"/>
      <c r="AV215" s="753"/>
    </row>
    <row r="216" spans="1:48" ht="15.9" customHeight="1">
      <c r="A216" s="582"/>
      <c r="E216" s="791"/>
      <c r="F216" s="1534" t="str">
        <f t="shared" si="105"/>
        <v/>
      </c>
      <c r="G216" s="1535"/>
      <c r="I216" s="1536">
        <f t="shared" si="106"/>
        <v>0</v>
      </c>
      <c r="J216" s="1536"/>
      <c r="K216" s="1536">
        <f t="shared" si="107"/>
        <v>0</v>
      </c>
      <c r="L216" s="1536"/>
      <c r="M216" s="1537">
        <f t="shared" si="108"/>
        <v>0</v>
      </c>
      <c r="N216" s="1524"/>
      <c r="O216" s="755" t="s">
        <v>1382</v>
      </c>
      <c r="P216" s="1524">
        <f t="shared" si="109"/>
        <v>0</v>
      </c>
      <c r="Q216" s="1525"/>
      <c r="S216" s="1538">
        <f t="shared" si="110"/>
        <v>0</v>
      </c>
      <c r="T216" s="1539"/>
      <c r="U216" s="755" t="s">
        <v>1382</v>
      </c>
      <c r="V216" s="1524">
        <f t="shared" si="111"/>
        <v>0</v>
      </c>
      <c r="W216" s="1525"/>
      <c r="Y216" s="744" t="s">
        <v>1470</v>
      </c>
      <c r="Z216" s="1526"/>
      <c r="AA216" s="1526"/>
      <c r="AB216" s="1526"/>
      <c r="AC216" s="794" t="s">
        <v>1471</v>
      </c>
      <c r="AD216" s="1527"/>
      <c r="AE216" s="1528"/>
      <c r="AF216" s="1529"/>
      <c r="AG216" s="1530"/>
      <c r="AH216" s="770" t="s">
        <v>1365</v>
      </c>
      <c r="AI216" s="1530"/>
      <c r="AJ216" s="1531"/>
      <c r="AK216" s="1532"/>
      <c r="AL216" s="1533"/>
      <c r="AM216" s="771" t="s">
        <v>1367</v>
      </c>
      <c r="AN216" s="772" t="str">
        <f t="shared" si="112"/>
        <v>-：（ｈ）、</v>
      </c>
      <c r="AO216" s="683" t="str">
        <f t="shared" si="113"/>
        <v>-</v>
      </c>
      <c r="AP216" s="773"/>
      <c r="AQ216" s="773"/>
      <c r="AR216" s="774">
        <f t="shared" si="114"/>
        <v>0</v>
      </c>
      <c r="AU216" s="753"/>
      <c r="AV216" s="753"/>
    </row>
    <row r="217" spans="1:48" ht="15.9" customHeight="1">
      <c r="A217" s="582"/>
      <c r="E217" s="791"/>
      <c r="F217" s="1534" t="str">
        <f t="shared" si="105"/>
        <v/>
      </c>
      <c r="G217" s="1535"/>
      <c r="I217" s="1536">
        <f t="shared" si="106"/>
        <v>0</v>
      </c>
      <c r="J217" s="1536"/>
      <c r="K217" s="1536">
        <f t="shared" si="107"/>
        <v>0</v>
      </c>
      <c r="L217" s="1536"/>
      <c r="M217" s="1537">
        <f t="shared" si="108"/>
        <v>0</v>
      </c>
      <c r="N217" s="1524"/>
      <c r="O217" s="755" t="s">
        <v>1382</v>
      </c>
      <c r="P217" s="1524">
        <f t="shared" si="109"/>
        <v>0</v>
      </c>
      <c r="Q217" s="1525"/>
      <c r="S217" s="1538">
        <f t="shared" si="110"/>
        <v>0</v>
      </c>
      <c r="T217" s="1539"/>
      <c r="U217" s="755" t="s">
        <v>1382</v>
      </c>
      <c r="V217" s="1524">
        <f t="shared" si="111"/>
        <v>0</v>
      </c>
      <c r="W217" s="1525"/>
      <c r="Y217" s="744" t="s">
        <v>1472</v>
      </c>
      <c r="Z217" s="1526"/>
      <c r="AA217" s="1526"/>
      <c r="AB217" s="1526"/>
      <c r="AC217" s="794" t="s">
        <v>1471</v>
      </c>
      <c r="AD217" s="1527"/>
      <c r="AE217" s="1528"/>
      <c r="AF217" s="1529"/>
      <c r="AG217" s="1530"/>
      <c r="AH217" s="770" t="s">
        <v>1365</v>
      </c>
      <c r="AI217" s="1530"/>
      <c r="AJ217" s="1531"/>
      <c r="AK217" s="1532"/>
      <c r="AL217" s="1533"/>
      <c r="AM217" s="771" t="s">
        <v>1367</v>
      </c>
      <c r="AN217" s="772" t="str">
        <f t="shared" si="112"/>
        <v>-：（ｈ）、</v>
      </c>
      <c r="AO217" s="683" t="str">
        <f t="shared" si="113"/>
        <v>-</v>
      </c>
      <c r="AP217" s="773"/>
      <c r="AQ217" s="773"/>
      <c r="AR217" s="774">
        <f t="shared" si="114"/>
        <v>0</v>
      </c>
      <c r="AU217" s="753"/>
      <c r="AV217" s="753"/>
    </row>
    <row r="218" spans="1:48" ht="15.9" customHeight="1">
      <c r="A218" s="582"/>
      <c r="E218" s="791"/>
      <c r="F218" s="1534" t="str">
        <f t="shared" si="105"/>
        <v/>
      </c>
      <c r="G218" s="1535"/>
      <c r="I218" s="1536">
        <f t="shared" si="106"/>
        <v>0</v>
      </c>
      <c r="J218" s="1536"/>
      <c r="K218" s="1536">
        <f t="shared" si="107"/>
        <v>0</v>
      </c>
      <c r="L218" s="1536"/>
      <c r="M218" s="1537">
        <f t="shared" si="108"/>
        <v>0</v>
      </c>
      <c r="N218" s="1524"/>
      <c r="O218" s="755" t="s">
        <v>1382</v>
      </c>
      <c r="P218" s="1524">
        <f t="shared" si="109"/>
        <v>0</v>
      </c>
      <c r="Q218" s="1525"/>
      <c r="S218" s="1538">
        <f t="shared" si="110"/>
        <v>0</v>
      </c>
      <c r="T218" s="1539"/>
      <c r="U218" s="755" t="s">
        <v>1382</v>
      </c>
      <c r="V218" s="1524">
        <f t="shared" si="111"/>
        <v>0</v>
      </c>
      <c r="W218" s="1525"/>
      <c r="Y218" s="744" t="s">
        <v>1473</v>
      </c>
      <c r="Z218" s="1526"/>
      <c r="AA218" s="1526"/>
      <c r="AB218" s="1526"/>
      <c r="AC218" s="794" t="s">
        <v>1471</v>
      </c>
      <c r="AD218" s="1527"/>
      <c r="AE218" s="1528"/>
      <c r="AF218" s="1529"/>
      <c r="AG218" s="1530"/>
      <c r="AH218" s="770" t="s">
        <v>1365</v>
      </c>
      <c r="AI218" s="1530"/>
      <c r="AJ218" s="1531"/>
      <c r="AK218" s="1532"/>
      <c r="AL218" s="1533"/>
      <c r="AM218" s="771" t="s">
        <v>1367</v>
      </c>
      <c r="AN218" s="772" t="str">
        <f t="shared" si="112"/>
        <v>-：（ｈ）、</v>
      </c>
      <c r="AO218" s="683" t="str">
        <f t="shared" si="113"/>
        <v>-</v>
      </c>
      <c r="AP218" s="773"/>
      <c r="AQ218" s="773"/>
      <c r="AR218" s="774">
        <f t="shared" si="114"/>
        <v>0</v>
      </c>
      <c r="AU218" s="753"/>
      <c r="AV218" s="753"/>
    </row>
    <row r="219" spans="1:48" ht="15.9" customHeight="1">
      <c r="A219" s="582"/>
      <c r="E219" s="791"/>
      <c r="F219" s="1534" t="str">
        <f t="shared" si="105"/>
        <v/>
      </c>
      <c r="G219" s="1535"/>
      <c r="I219" s="1536">
        <f t="shared" si="106"/>
        <v>0</v>
      </c>
      <c r="J219" s="1536"/>
      <c r="K219" s="1536">
        <f t="shared" si="107"/>
        <v>0</v>
      </c>
      <c r="L219" s="1536"/>
      <c r="M219" s="1537">
        <f t="shared" si="108"/>
        <v>0</v>
      </c>
      <c r="N219" s="1524"/>
      <c r="O219" s="755" t="s">
        <v>1382</v>
      </c>
      <c r="P219" s="1524">
        <f t="shared" si="109"/>
        <v>0</v>
      </c>
      <c r="Q219" s="1525"/>
      <c r="S219" s="1538">
        <f t="shared" si="110"/>
        <v>0</v>
      </c>
      <c r="T219" s="1539"/>
      <c r="U219" s="755" t="s">
        <v>1382</v>
      </c>
      <c r="V219" s="1524">
        <f t="shared" si="111"/>
        <v>0</v>
      </c>
      <c r="W219" s="1525"/>
      <c r="Y219" s="744" t="s">
        <v>1474</v>
      </c>
      <c r="Z219" s="1526"/>
      <c r="AA219" s="1526"/>
      <c r="AB219" s="1526"/>
      <c r="AC219" s="794" t="s">
        <v>1471</v>
      </c>
      <c r="AD219" s="1527"/>
      <c r="AE219" s="1528"/>
      <c r="AF219" s="1529"/>
      <c r="AG219" s="1530"/>
      <c r="AH219" s="770" t="s">
        <v>1365</v>
      </c>
      <c r="AI219" s="1530"/>
      <c r="AJ219" s="1531"/>
      <c r="AK219" s="1532"/>
      <c r="AL219" s="1533"/>
      <c r="AM219" s="771" t="s">
        <v>1367</v>
      </c>
      <c r="AN219" s="772" t="str">
        <f t="shared" si="112"/>
        <v>-：（ｈ）、</v>
      </c>
      <c r="AO219" s="683" t="str">
        <f t="shared" si="113"/>
        <v>-</v>
      </c>
      <c r="AP219" s="773"/>
      <c r="AQ219" s="773"/>
      <c r="AR219" s="774">
        <f t="shared" si="114"/>
        <v>0</v>
      </c>
      <c r="AU219" s="753"/>
      <c r="AV219" s="753"/>
    </row>
    <row r="220" spans="1:48" ht="15.9" customHeight="1">
      <c r="A220" s="582"/>
      <c r="E220" s="796"/>
      <c r="F220" s="1534" t="str">
        <f t="shared" si="105"/>
        <v/>
      </c>
      <c r="G220" s="1535"/>
      <c r="I220" s="1536">
        <f t="shared" si="106"/>
        <v>0</v>
      </c>
      <c r="J220" s="1536"/>
      <c r="K220" s="1536">
        <f t="shared" si="107"/>
        <v>0</v>
      </c>
      <c r="L220" s="1536"/>
      <c r="M220" s="1537">
        <f t="shared" si="108"/>
        <v>0</v>
      </c>
      <c r="N220" s="1524"/>
      <c r="O220" s="755" t="s">
        <v>1382</v>
      </c>
      <c r="P220" s="1524">
        <f t="shared" si="109"/>
        <v>0</v>
      </c>
      <c r="Q220" s="1525"/>
      <c r="S220" s="1538">
        <f t="shared" si="110"/>
        <v>0</v>
      </c>
      <c r="T220" s="1539"/>
      <c r="U220" s="755" t="s">
        <v>1382</v>
      </c>
      <c r="V220" s="1524">
        <f t="shared" si="111"/>
        <v>0</v>
      </c>
      <c r="W220" s="1525"/>
      <c r="Y220" s="744" t="s">
        <v>1475</v>
      </c>
      <c r="Z220" s="1526"/>
      <c r="AA220" s="1526"/>
      <c r="AB220" s="1526"/>
      <c r="AC220" s="794" t="s">
        <v>1471</v>
      </c>
      <c r="AD220" s="1527"/>
      <c r="AE220" s="1528"/>
      <c r="AF220" s="1529"/>
      <c r="AG220" s="1530"/>
      <c r="AH220" s="770" t="s">
        <v>1365</v>
      </c>
      <c r="AI220" s="1530"/>
      <c r="AJ220" s="1531"/>
      <c r="AK220" s="1532"/>
      <c r="AL220" s="1533"/>
      <c r="AM220" s="771" t="s">
        <v>1367</v>
      </c>
      <c r="AN220" s="772" t="str">
        <f t="shared" si="112"/>
        <v>-：（ｈ）、</v>
      </c>
      <c r="AO220" s="683" t="str">
        <f t="shared" si="113"/>
        <v>-</v>
      </c>
      <c r="AP220" s="773"/>
      <c r="AQ220" s="773"/>
      <c r="AR220" s="774">
        <f t="shared" si="114"/>
        <v>0</v>
      </c>
      <c r="AU220" s="753"/>
      <c r="AV220" s="753"/>
    </row>
    <row r="221" spans="1:48" ht="15.9" customHeight="1">
      <c r="A221" s="582"/>
      <c r="E221" s="797"/>
      <c r="F221" s="1518" t="str">
        <f t="shared" si="105"/>
        <v/>
      </c>
      <c r="G221" s="1519"/>
      <c r="I221" s="1520">
        <f t="shared" si="106"/>
        <v>0</v>
      </c>
      <c r="J221" s="1520"/>
      <c r="K221" s="1520">
        <f t="shared" si="107"/>
        <v>0</v>
      </c>
      <c r="L221" s="1520"/>
      <c r="M221" s="1521">
        <f t="shared" si="108"/>
        <v>0</v>
      </c>
      <c r="N221" s="1508"/>
      <c r="O221" s="778" t="s">
        <v>1382</v>
      </c>
      <c r="P221" s="1508">
        <f t="shared" si="109"/>
        <v>0</v>
      </c>
      <c r="Q221" s="1509"/>
      <c r="S221" s="1522">
        <f t="shared" si="110"/>
        <v>0</v>
      </c>
      <c r="T221" s="1523"/>
      <c r="U221" s="778" t="s">
        <v>1382</v>
      </c>
      <c r="V221" s="1508">
        <f t="shared" si="111"/>
        <v>0</v>
      </c>
      <c r="W221" s="1509"/>
      <c r="Y221" s="744" t="s">
        <v>1476</v>
      </c>
      <c r="Z221" s="1510"/>
      <c r="AA221" s="1510"/>
      <c r="AB221" s="1510"/>
      <c r="AC221" s="798" t="s">
        <v>1471</v>
      </c>
      <c r="AD221" s="1511"/>
      <c r="AE221" s="1512"/>
      <c r="AF221" s="1513"/>
      <c r="AG221" s="1514"/>
      <c r="AH221" s="780" t="s">
        <v>1365</v>
      </c>
      <c r="AI221" s="1514"/>
      <c r="AJ221" s="1515"/>
      <c r="AK221" s="1516"/>
      <c r="AL221" s="1517"/>
      <c r="AM221" s="781" t="s">
        <v>1367</v>
      </c>
      <c r="AN221" s="782" t="str">
        <f t="shared" si="112"/>
        <v>-：（ｈ）、</v>
      </c>
      <c r="AO221" s="683" t="str">
        <f t="shared" si="113"/>
        <v>-</v>
      </c>
      <c r="AP221" s="783"/>
      <c r="AQ221" s="783"/>
      <c r="AR221" s="784">
        <f t="shared" si="114"/>
        <v>0</v>
      </c>
      <c r="AU221" s="753"/>
      <c r="AV221" s="753"/>
    </row>
    <row r="222" spans="1:48">
      <c r="A222" s="582"/>
      <c r="AF222" s="1507" t="s">
        <v>1477</v>
      </c>
      <c r="AG222" s="1507"/>
      <c r="AH222" s="1507"/>
      <c r="AI222" s="1507"/>
      <c r="AJ222" s="1507"/>
    </row>
    <row r="223" spans="1:48">
      <c r="A223" s="582"/>
    </row>
    <row r="224" spans="1:48">
      <c r="A224" s="582"/>
      <c r="T224" s="587"/>
    </row>
  </sheetData>
  <mergeCells count="672">
    <mergeCell ref="AL7:AL9"/>
    <mergeCell ref="AN7:AR8"/>
    <mergeCell ref="B10:B11"/>
    <mergeCell ref="C10:C11"/>
    <mergeCell ref="D10:D11"/>
    <mergeCell ref="E10:E11"/>
    <mergeCell ref="AQ1:AR1"/>
    <mergeCell ref="J2:K2"/>
    <mergeCell ref="O2:P2"/>
    <mergeCell ref="E4:AK5"/>
    <mergeCell ref="D7:D9"/>
    <mergeCell ref="G7:M7"/>
    <mergeCell ref="N7:T7"/>
    <mergeCell ref="U7:AA7"/>
    <mergeCell ref="AB7:AH7"/>
    <mergeCell ref="AI7:AK7"/>
    <mergeCell ref="B16:B17"/>
    <mergeCell ref="C16:C17"/>
    <mergeCell ref="D16:D17"/>
    <mergeCell ref="E16:E17"/>
    <mergeCell ref="B18:B19"/>
    <mergeCell ref="C18:C19"/>
    <mergeCell ref="D18:D19"/>
    <mergeCell ref="E18:E19"/>
    <mergeCell ref="B12:B13"/>
    <mergeCell ref="C12:C13"/>
    <mergeCell ref="D12:D13"/>
    <mergeCell ref="E12:E13"/>
    <mergeCell ref="B14:B15"/>
    <mergeCell ref="C14:C15"/>
    <mergeCell ref="D14:D15"/>
    <mergeCell ref="E14:E15"/>
    <mergeCell ref="B24:B25"/>
    <mergeCell ref="C24:C25"/>
    <mergeCell ref="D24:D25"/>
    <mergeCell ref="E24:E25"/>
    <mergeCell ref="B26:B27"/>
    <mergeCell ref="C26:C27"/>
    <mergeCell ref="D26:D27"/>
    <mergeCell ref="E26:E27"/>
    <mergeCell ref="B20:B21"/>
    <mergeCell ref="C20:C21"/>
    <mergeCell ref="D20:D21"/>
    <mergeCell ref="E20:E21"/>
    <mergeCell ref="B22:B23"/>
    <mergeCell ref="C22:C23"/>
    <mergeCell ref="D22:D23"/>
    <mergeCell ref="E22:E23"/>
    <mergeCell ref="B32:B33"/>
    <mergeCell ref="C32:C33"/>
    <mergeCell ref="D32:D33"/>
    <mergeCell ref="E32:E33"/>
    <mergeCell ref="B34:B35"/>
    <mergeCell ref="C34:C35"/>
    <mergeCell ref="D34:D35"/>
    <mergeCell ref="E34:E35"/>
    <mergeCell ref="B28:B29"/>
    <mergeCell ref="C28:C29"/>
    <mergeCell ref="D28:D29"/>
    <mergeCell ref="E28:E29"/>
    <mergeCell ref="B30:B31"/>
    <mergeCell ref="C30:C31"/>
    <mergeCell ref="D30:D31"/>
    <mergeCell ref="E30:E31"/>
    <mergeCell ref="B40:B41"/>
    <mergeCell ref="C40:C41"/>
    <mergeCell ref="D40:D41"/>
    <mergeCell ref="E40:E41"/>
    <mergeCell ref="B42:B43"/>
    <mergeCell ref="C42:C43"/>
    <mergeCell ref="D42:D43"/>
    <mergeCell ref="E42:E43"/>
    <mergeCell ref="B36:B37"/>
    <mergeCell ref="C36:C37"/>
    <mergeCell ref="D36:D37"/>
    <mergeCell ref="E36:E37"/>
    <mergeCell ref="B38:B39"/>
    <mergeCell ref="C38:C39"/>
    <mergeCell ref="D38:D39"/>
    <mergeCell ref="E38:E39"/>
    <mergeCell ref="B48:B49"/>
    <mergeCell ref="C48:C49"/>
    <mergeCell ref="D48:D49"/>
    <mergeCell ref="E48:E49"/>
    <mergeCell ref="B50:B51"/>
    <mergeCell ref="C50:C51"/>
    <mergeCell ref="D50:D51"/>
    <mergeCell ref="E50:E51"/>
    <mergeCell ref="B44:B45"/>
    <mergeCell ref="C44:C45"/>
    <mergeCell ref="D44:D45"/>
    <mergeCell ref="E44:E45"/>
    <mergeCell ref="B46:B47"/>
    <mergeCell ref="C46:C47"/>
    <mergeCell ref="D46:D47"/>
    <mergeCell ref="E46:E47"/>
    <mergeCell ref="B56:B57"/>
    <mergeCell ref="C56:C57"/>
    <mergeCell ref="D56:D57"/>
    <mergeCell ref="E56:E57"/>
    <mergeCell ref="B58:B59"/>
    <mergeCell ref="C58:C59"/>
    <mergeCell ref="D58:D59"/>
    <mergeCell ref="E58:E59"/>
    <mergeCell ref="B52:B53"/>
    <mergeCell ref="C52:C53"/>
    <mergeCell ref="D52:D53"/>
    <mergeCell ref="E52:E53"/>
    <mergeCell ref="B54:B55"/>
    <mergeCell ref="C54:C55"/>
    <mergeCell ref="D54:D55"/>
    <mergeCell ref="E54:E55"/>
    <mergeCell ref="B64:B65"/>
    <mergeCell ref="C64:C65"/>
    <mergeCell ref="D64:D65"/>
    <mergeCell ref="E64:E65"/>
    <mergeCell ref="B66:B67"/>
    <mergeCell ref="C66:C67"/>
    <mergeCell ref="D66:D67"/>
    <mergeCell ref="E66:E67"/>
    <mergeCell ref="B60:B61"/>
    <mergeCell ref="C60:C61"/>
    <mergeCell ref="D60:D61"/>
    <mergeCell ref="E60:E61"/>
    <mergeCell ref="B62:B63"/>
    <mergeCell ref="C62:C63"/>
    <mergeCell ref="D62:D63"/>
    <mergeCell ref="E62:E63"/>
    <mergeCell ref="B72:B73"/>
    <mergeCell ref="C72:C73"/>
    <mergeCell ref="D72:D73"/>
    <mergeCell ref="E72:E73"/>
    <mergeCell ref="B74:B75"/>
    <mergeCell ref="C74:C75"/>
    <mergeCell ref="D74:D75"/>
    <mergeCell ref="E74:E75"/>
    <mergeCell ref="B68:B69"/>
    <mergeCell ref="C68:C69"/>
    <mergeCell ref="D68:D69"/>
    <mergeCell ref="E68:E69"/>
    <mergeCell ref="B70:B71"/>
    <mergeCell ref="C70:C71"/>
    <mergeCell ref="D70:D71"/>
    <mergeCell ref="E70:E71"/>
    <mergeCell ref="B80:B81"/>
    <mergeCell ref="C80:C81"/>
    <mergeCell ref="D80:D81"/>
    <mergeCell ref="E80:E81"/>
    <mergeCell ref="B82:B83"/>
    <mergeCell ref="C82:C83"/>
    <mergeCell ref="D82:D83"/>
    <mergeCell ref="E82:E83"/>
    <mergeCell ref="B76:B77"/>
    <mergeCell ref="C76:C77"/>
    <mergeCell ref="D76:D77"/>
    <mergeCell ref="E76:E77"/>
    <mergeCell ref="B78:B79"/>
    <mergeCell ref="C78:C79"/>
    <mergeCell ref="D78:D79"/>
    <mergeCell ref="E78:E79"/>
    <mergeCell ref="B88:B89"/>
    <mergeCell ref="C88:C89"/>
    <mergeCell ref="D88:D89"/>
    <mergeCell ref="E88:E89"/>
    <mergeCell ref="B90:B91"/>
    <mergeCell ref="C90:C91"/>
    <mergeCell ref="D90:D91"/>
    <mergeCell ref="E90:E91"/>
    <mergeCell ref="B84:B85"/>
    <mergeCell ref="C84:C85"/>
    <mergeCell ref="D84:D85"/>
    <mergeCell ref="E84:E85"/>
    <mergeCell ref="B86:B87"/>
    <mergeCell ref="C86:C87"/>
    <mergeCell ref="D86:D87"/>
    <mergeCell ref="E86:E87"/>
    <mergeCell ref="B96:B97"/>
    <mergeCell ref="C96:C97"/>
    <mergeCell ref="D96:D97"/>
    <mergeCell ref="E96:E97"/>
    <mergeCell ref="B98:B99"/>
    <mergeCell ref="C98:C99"/>
    <mergeCell ref="D98:D99"/>
    <mergeCell ref="E98:E99"/>
    <mergeCell ref="B92:B93"/>
    <mergeCell ref="C92:C93"/>
    <mergeCell ref="D92:D93"/>
    <mergeCell ref="E92:E93"/>
    <mergeCell ref="B94:B95"/>
    <mergeCell ref="C94:C95"/>
    <mergeCell ref="D94:D95"/>
    <mergeCell ref="E94:E95"/>
    <mergeCell ref="B104:B105"/>
    <mergeCell ref="C104:C105"/>
    <mergeCell ref="D104:D105"/>
    <mergeCell ref="E104:E105"/>
    <mergeCell ref="B106:B107"/>
    <mergeCell ref="C106:C107"/>
    <mergeCell ref="D106:D107"/>
    <mergeCell ref="E106:E107"/>
    <mergeCell ref="B100:B101"/>
    <mergeCell ref="C100:C101"/>
    <mergeCell ref="D100:D101"/>
    <mergeCell ref="E100:E101"/>
    <mergeCell ref="B102:B103"/>
    <mergeCell ref="C102:C103"/>
    <mergeCell ref="D102:D103"/>
    <mergeCell ref="E102:E103"/>
    <mergeCell ref="B112:B113"/>
    <mergeCell ref="C112:C113"/>
    <mergeCell ref="D112:D113"/>
    <mergeCell ref="E112:E113"/>
    <mergeCell ref="B114:B115"/>
    <mergeCell ref="C114:C115"/>
    <mergeCell ref="D114:D115"/>
    <mergeCell ref="E114:E115"/>
    <mergeCell ref="B108:B109"/>
    <mergeCell ref="C108:C109"/>
    <mergeCell ref="D108:D109"/>
    <mergeCell ref="E108:E109"/>
    <mergeCell ref="B110:B111"/>
    <mergeCell ref="C110:C111"/>
    <mergeCell ref="D110:D111"/>
    <mergeCell ref="E110:E111"/>
    <mergeCell ref="B120:B121"/>
    <mergeCell ref="C120:C121"/>
    <mergeCell ref="D120:D121"/>
    <mergeCell ref="E120:E121"/>
    <mergeCell ref="B122:B123"/>
    <mergeCell ref="C122:C123"/>
    <mergeCell ref="D122:D123"/>
    <mergeCell ref="E122:E123"/>
    <mergeCell ref="B116:B117"/>
    <mergeCell ref="C116:C117"/>
    <mergeCell ref="D116:D117"/>
    <mergeCell ref="E116:E117"/>
    <mergeCell ref="B118:B119"/>
    <mergeCell ref="C118:C119"/>
    <mergeCell ref="D118:D119"/>
    <mergeCell ref="E118:E119"/>
    <mergeCell ref="B128:B129"/>
    <mergeCell ref="C128:C129"/>
    <mergeCell ref="D128:D129"/>
    <mergeCell ref="E128:E129"/>
    <mergeCell ref="B130:B131"/>
    <mergeCell ref="C130:C131"/>
    <mergeCell ref="D130:D131"/>
    <mergeCell ref="E130:E131"/>
    <mergeCell ref="B124:B125"/>
    <mergeCell ref="C124:C125"/>
    <mergeCell ref="D124:D125"/>
    <mergeCell ref="E124:E125"/>
    <mergeCell ref="B126:B127"/>
    <mergeCell ref="C126:C127"/>
    <mergeCell ref="D126:D127"/>
    <mergeCell ref="E126:E127"/>
    <mergeCell ref="B136:B137"/>
    <mergeCell ref="C136:C137"/>
    <mergeCell ref="D136:D137"/>
    <mergeCell ref="E136:E137"/>
    <mergeCell ref="B138:B139"/>
    <mergeCell ref="C138:C139"/>
    <mergeCell ref="D138:D139"/>
    <mergeCell ref="E138:E139"/>
    <mergeCell ref="B132:B133"/>
    <mergeCell ref="C132:C133"/>
    <mergeCell ref="D132:D133"/>
    <mergeCell ref="E132:E133"/>
    <mergeCell ref="B134:B135"/>
    <mergeCell ref="C134:C135"/>
    <mergeCell ref="D134:D135"/>
    <mergeCell ref="E134:E135"/>
    <mergeCell ref="C140:C141"/>
    <mergeCell ref="D140:D141"/>
    <mergeCell ref="E140:E141"/>
    <mergeCell ref="C143:E143"/>
    <mergeCell ref="Y146:AB146"/>
    <mergeCell ref="AD146:AL147"/>
    <mergeCell ref="F147:I147"/>
    <mergeCell ref="L147:O147"/>
    <mergeCell ref="S147:W147"/>
    <mergeCell ref="Y147:AB147"/>
    <mergeCell ref="AG148:AH148"/>
    <mergeCell ref="AJ148:AK148"/>
    <mergeCell ref="AN149:AO149"/>
    <mergeCell ref="C150:F150"/>
    <mergeCell ref="AN150:AO150"/>
    <mergeCell ref="C151:E151"/>
    <mergeCell ref="AN151:AO151"/>
    <mergeCell ref="G148:I148"/>
    <mergeCell ref="M148:N148"/>
    <mergeCell ref="Q148:R148"/>
    <mergeCell ref="U148:V148"/>
    <mergeCell ref="Y148:AA148"/>
    <mergeCell ref="AD148:AE148"/>
    <mergeCell ref="C155:E155"/>
    <mergeCell ref="AN155:AO155"/>
    <mergeCell ref="C156:E156"/>
    <mergeCell ref="AN156:AO156"/>
    <mergeCell ref="C157:E157"/>
    <mergeCell ref="AN157:AO157"/>
    <mergeCell ref="C152:E152"/>
    <mergeCell ref="AN152:AO152"/>
    <mergeCell ref="C153:E153"/>
    <mergeCell ref="AN153:AO153"/>
    <mergeCell ref="C154:E154"/>
    <mergeCell ref="AN154:AO154"/>
    <mergeCell ref="C161:E161"/>
    <mergeCell ref="AN161:AO161"/>
    <mergeCell ref="C162:E162"/>
    <mergeCell ref="AN162:AO162"/>
    <mergeCell ref="C163:E163"/>
    <mergeCell ref="AN163:AO163"/>
    <mergeCell ref="C158:E158"/>
    <mergeCell ref="AN158:AO158"/>
    <mergeCell ref="C159:E159"/>
    <mergeCell ref="AN159:AO159"/>
    <mergeCell ref="C160:E160"/>
    <mergeCell ref="AN160:AO160"/>
    <mergeCell ref="C167:E167"/>
    <mergeCell ref="AN167:AO167"/>
    <mergeCell ref="C168:E168"/>
    <mergeCell ref="AN168:AO168"/>
    <mergeCell ref="C169:E169"/>
    <mergeCell ref="AN169:AO169"/>
    <mergeCell ref="C164:E164"/>
    <mergeCell ref="AN164:AO164"/>
    <mergeCell ref="C165:E165"/>
    <mergeCell ref="AN165:AO165"/>
    <mergeCell ref="C166:E166"/>
    <mergeCell ref="AN166:AO166"/>
    <mergeCell ref="C173:E173"/>
    <mergeCell ref="AN173:AO173"/>
    <mergeCell ref="C174:E174"/>
    <mergeCell ref="AN174:AO174"/>
    <mergeCell ref="C175:E175"/>
    <mergeCell ref="AN175:AO175"/>
    <mergeCell ref="C170:E170"/>
    <mergeCell ref="AN170:AO170"/>
    <mergeCell ref="C171:E171"/>
    <mergeCell ref="AN171:AO171"/>
    <mergeCell ref="C172:E172"/>
    <mergeCell ref="AN172:AO172"/>
    <mergeCell ref="AI176:AM176"/>
    <mergeCell ref="AN176:AO176"/>
    <mergeCell ref="C192:E193"/>
    <mergeCell ref="G192:H192"/>
    <mergeCell ref="I192:J192"/>
    <mergeCell ref="L192:M192"/>
    <mergeCell ref="N192:O192"/>
    <mergeCell ref="Q192:R192"/>
    <mergeCell ref="Z192:AB193"/>
    <mergeCell ref="AC192:AC193"/>
    <mergeCell ref="S196:W196"/>
    <mergeCell ref="Z196:AB196"/>
    <mergeCell ref="AC196:AE196"/>
    <mergeCell ref="AF196:AJ196"/>
    <mergeCell ref="AK196:AM196"/>
    <mergeCell ref="AP196:AR196"/>
    <mergeCell ref="L193:M193"/>
    <mergeCell ref="N193:O193"/>
    <mergeCell ref="F196:G196"/>
    <mergeCell ref="I196:J196"/>
    <mergeCell ref="K196:L196"/>
    <mergeCell ref="M196:Q196"/>
    <mergeCell ref="AD192:AE193"/>
    <mergeCell ref="AF192:AG193"/>
    <mergeCell ref="AH192:AH193"/>
    <mergeCell ref="AI192:AJ193"/>
    <mergeCell ref="AK192:AL193"/>
    <mergeCell ref="AM192:AM193"/>
    <mergeCell ref="V197:W197"/>
    <mergeCell ref="Z197:AB197"/>
    <mergeCell ref="AD197:AE197"/>
    <mergeCell ref="AF197:AG197"/>
    <mergeCell ref="AI197:AJ197"/>
    <mergeCell ref="AK197:AL197"/>
    <mergeCell ref="F197:G197"/>
    <mergeCell ref="I197:J197"/>
    <mergeCell ref="K197:L197"/>
    <mergeCell ref="M197:N197"/>
    <mergeCell ref="P197:Q197"/>
    <mergeCell ref="S197:T197"/>
    <mergeCell ref="V198:W198"/>
    <mergeCell ref="Z198:AB198"/>
    <mergeCell ref="AD198:AE198"/>
    <mergeCell ref="AF198:AG198"/>
    <mergeCell ref="AI198:AJ198"/>
    <mergeCell ref="AK198:AL198"/>
    <mergeCell ref="F198:G198"/>
    <mergeCell ref="I198:J198"/>
    <mergeCell ref="K198:L198"/>
    <mergeCell ref="M198:N198"/>
    <mergeCell ref="P198:Q198"/>
    <mergeCell ref="S198:T198"/>
    <mergeCell ref="V199:W199"/>
    <mergeCell ref="Z199:AB199"/>
    <mergeCell ref="AD199:AE199"/>
    <mergeCell ref="AF199:AG199"/>
    <mergeCell ref="AI199:AJ199"/>
    <mergeCell ref="AK199:AL199"/>
    <mergeCell ref="F199:G199"/>
    <mergeCell ref="I199:J199"/>
    <mergeCell ref="K199:L199"/>
    <mergeCell ref="M199:N199"/>
    <mergeCell ref="P199:Q199"/>
    <mergeCell ref="S199:T199"/>
    <mergeCell ref="V200:W200"/>
    <mergeCell ref="Z200:AB200"/>
    <mergeCell ref="AD200:AE200"/>
    <mergeCell ref="AF200:AG200"/>
    <mergeCell ref="AI200:AJ200"/>
    <mergeCell ref="AK200:AL200"/>
    <mergeCell ref="F200:G200"/>
    <mergeCell ref="I200:J200"/>
    <mergeCell ref="K200:L200"/>
    <mergeCell ref="M200:N200"/>
    <mergeCell ref="P200:Q200"/>
    <mergeCell ref="S200:T200"/>
    <mergeCell ref="V201:W201"/>
    <mergeCell ref="Z201:AB201"/>
    <mergeCell ref="AD201:AE201"/>
    <mergeCell ref="AF201:AG201"/>
    <mergeCell ref="AI201:AJ201"/>
    <mergeCell ref="AK201:AL201"/>
    <mergeCell ref="F201:G201"/>
    <mergeCell ref="I201:J201"/>
    <mergeCell ref="K201:L201"/>
    <mergeCell ref="M201:N201"/>
    <mergeCell ref="P201:Q201"/>
    <mergeCell ref="S201:T201"/>
    <mergeCell ref="V202:W202"/>
    <mergeCell ref="Z202:AB202"/>
    <mergeCell ref="AD202:AE202"/>
    <mergeCell ref="AF202:AG202"/>
    <mergeCell ref="AI202:AJ202"/>
    <mergeCell ref="AK202:AL202"/>
    <mergeCell ref="F202:G202"/>
    <mergeCell ref="I202:J202"/>
    <mergeCell ref="K202:L202"/>
    <mergeCell ref="M202:N202"/>
    <mergeCell ref="P202:Q202"/>
    <mergeCell ref="S202:T202"/>
    <mergeCell ref="V203:W203"/>
    <mergeCell ref="Z203:AB203"/>
    <mergeCell ref="AD203:AE203"/>
    <mergeCell ref="AF203:AG203"/>
    <mergeCell ref="AI203:AJ203"/>
    <mergeCell ref="AK203:AL203"/>
    <mergeCell ref="F203:G203"/>
    <mergeCell ref="I203:J203"/>
    <mergeCell ref="K203:L203"/>
    <mergeCell ref="M203:N203"/>
    <mergeCell ref="P203:Q203"/>
    <mergeCell ref="S203:T203"/>
    <mergeCell ref="V204:W204"/>
    <mergeCell ref="Z204:AB204"/>
    <mergeCell ref="AD204:AE204"/>
    <mergeCell ref="AF204:AG204"/>
    <mergeCell ref="AI204:AJ204"/>
    <mergeCell ref="AK204:AL204"/>
    <mergeCell ref="F204:G204"/>
    <mergeCell ref="I204:J204"/>
    <mergeCell ref="K204:L204"/>
    <mergeCell ref="M204:N204"/>
    <mergeCell ref="P204:Q204"/>
    <mergeCell ref="S204:T204"/>
    <mergeCell ref="V205:W205"/>
    <mergeCell ref="Z205:AB205"/>
    <mergeCell ref="AD205:AE205"/>
    <mergeCell ref="AF205:AG205"/>
    <mergeCell ref="AI205:AJ205"/>
    <mergeCell ref="AK205:AL205"/>
    <mergeCell ref="F205:G205"/>
    <mergeCell ref="I205:J205"/>
    <mergeCell ref="K205:L205"/>
    <mergeCell ref="M205:N205"/>
    <mergeCell ref="P205:Q205"/>
    <mergeCell ref="S205:T205"/>
    <mergeCell ref="V206:W206"/>
    <mergeCell ref="Z206:AB206"/>
    <mergeCell ref="AD206:AE206"/>
    <mergeCell ref="AF206:AG206"/>
    <mergeCell ref="AI206:AJ206"/>
    <mergeCell ref="AK206:AL206"/>
    <mergeCell ref="F206:G206"/>
    <mergeCell ref="I206:J206"/>
    <mergeCell ref="K206:L206"/>
    <mergeCell ref="M206:N206"/>
    <mergeCell ref="P206:Q206"/>
    <mergeCell ref="S206:T206"/>
    <mergeCell ref="V207:W207"/>
    <mergeCell ref="Z207:AB207"/>
    <mergeCell ref="AD207:AE207"/>
    <mergeCell ref="AF207:AG207"/>
    <mergeCell ref="AI207:AJ207"/>
    <mergeCell ref="AK207:AL207"/>
    <mergeCell ref="F207:G207"/>
    <mergeCell ref="I207:J207"/>
    <mergeCell ref="K207:L207"/>
    <mergeCell ref="M207:N207"/>
    <mergeCell ref="P207:Q207"/>
    <mergeCell ref="S207:T207"/>
    <mergeCell ref="V208:W208"/>
    <mergeCell ref="Z208:AB208"/>
    <mergeCell ref="AD208:AE208"/>
    <mergeCell ref="AF208:AG208"/>
    <mergeCell ref="AI208:AJ208"/>
    <mergeCell ref="AK208:AL208"/>
    <mergeCell ref="F208:G208"/>
    <mergeCell ref="I208:J208"/>
    <mergeCell ref="K208:L208"/>
    <mergeCell ref="M208:N208"/>
    <mergeCell ref="P208:Q208"/>
    <mergeCell ref="S208:T208"/>
    <mergeCell ref="V209:W209"/>
    <mergeCell ref="Z209:AB209"/>
    <mergeCell ref="AD209:AE209"/>
    <mergeCell ref="AF209:AG209"/>
    <mergeCell ref="AI209:AJ209"/>
    <mergeCell ref="AK209:AL209"/>
    <mergeCell ref="F209:G209"/>
    <mergeCell ref="I209:J209"/>
    <mergeCell ref="K209:L209"/>
    <mergeCell ref="M209:N209"/>
    <mergeCell ref="P209:Q209"/>
    <mergeCell ref="S209:T209"/>
    <mergeCell ref="V210:W210"/>
    <mergeCell ref="Z210:AB210"/>
    <mergeCell ref="AD210:AE210"/>
    <mergeCell ref="AF210:AG210"/>
    <mergeCell ref="AI210:AJ210"/>
    <mergeCell ref="AK210:AL210"/>
    <mergeCell ref="F210:G210"/>
    <mergeCell ref="I210:J210"/>
    <mergeCell ref="K210:L210"/>
    <mergeCell ref="M210:N210"/>
    <mergeCell ref="P210:Q210"/>
    <mergeCell ref="S210:T210"/>
    <mergeCell ref="V211:W211"/>
    <mergeCell ref="Z211:AB211"/>
    <mergeCell ref="AD211:AE211"/>
    <mergeCell ref="AF211:AG211"/>
    <mergeCell ref="AI211:AJ211"/>
    <mergeCell ref="AK211:AL211"/>
    <mergeCell ref="F211:G211"/>
    <mergeCell ref="I211:J211"/>
    <mergeCell ref="K211:L211"/>
    <mergeCell ref="M211:N211"/>
    <mergeCell ref="P211:Q211"/>
    <mergeCell ref="S211:T211"/>
    <mergeCell ref="V212:W212"/>
    <mergeCell ref="Z212:AB212"/>
    <mergeCell ref="AD212:AE212"/>
    <mergeCell ref="AF212:AG212"/>
    <mergeCell ref="AI212:AJ212"/>
    <mergeCell ref="AK212:AL212"/>
    <mergeCell ref="F212:G212"/>
    <mergeCell ref="I212:J212"/>
    <mergeCell ref="K212:L212"/>
    <mergeCell ref="M212:N212"/>
    <mergeCell ref="P212:Q212"/>
    <mergeCell ref="S212:T212"/>
    <mergeCell ref="V213:W213"/>
    <mergeCell ref="Z213:AB213"/>
    <mergeCell ref="AD213:AE213"/>
    <mergeCell ref="AF213:AG213"/>
    <mergeCell ref="AI213:AJ213"/>
    <mergeCell ref="AK213:AL213"/>
    <mergeCell ref="F213:G213"/>
    <mergeCell ref="I213:J213"/>
    <mergeCell ref="K213:L213"/>
    <mergeCell ref="M213:N213"/>
    <mergeCell ref="P213:Q213"/>
    <mergeCell ref="S213:T213"/>
    <mergeCell ref="V214:W214"/>
    <mergeCell ref="Z214:AB214"/>
    <mergeCell ref="AD214:AE214"/>
    <mergeCell ref="AF214:AG214"/>
    <mergeCell ref="AI214:AJ214"/>
    <mergeCell ref="AK214:AL214"/>
    <mergeCell ref="F214:G214"/>
    <mergeCell ref="I214:J214"/>
    <mergeCell ref="K214:L214"/>
    <mergeCell ref="M214:N214"/>
    <mergeCell ref="P214:Q214"/>
    <mergeCell ref="S214:T214"/>
    <mergeCell ref="V215:W215"/>
    <mergeCell ref="Z215:AB215"/>
    <mergeCell ref="AD215:AE215"/>
    <mergeCell ref="AF215:AG215"/>
    <mergeCell ref="AI215:AJ215"/>
    <mergeCell ref="AK215:AL215"/>
    <mergeCell ref="F215:G215"/>
    <mergeCell ref="I215:J215"/>
    <mergeCell ref="K215:L215"/>
    <mergeCell ref="M215:N215"/>
    <mergeCell ref="P215:Q215"/>
    <mergeCell ref="S215:T215"/>
    <mergeCell ref="V216:W216"/>
    <mergeCell ref="Z216:AB216"/>
    <mergeCell ref="AD216:AE216"/>
    <mergeCell ref="AF216:AG216"/>
    <mergeCell ref="AI216:AJ216"/>
    <mergeCell ref="AK216:AL216"/>
    <mergeCell ref="F216:G216"/>
    <mergeCell ref="I216:J216"/>
    <mergeCell ref="K216:L216"/>
    <mergeCell ref="M216:N216"/>
    <mergeCell ref="P216:Q216"/>
    <mergeCell ref="S216:T216"/>
    <mergeCell ref="V217:W217"/>
    <mergeCell ref="Z217:AB217"/>
    <mergeCell ref="AD217:AE217"/>
    <mergeCell ref="AF217:AG217"/>
    <mergeCell ref="AI217:AJ217"/>
    <mergeCell ref="AK217:AL217"/>
    <mergeCell ref="F217:G217"/>
    <mergeCell ref="I217:J217"/>
    <mergeCell ref="K217:L217"/>
    <mergeCell ref="M217:N217"/>
    <mergeCell ref="P217:Q217"/>
    <mergeCell ref="S217:T217"/>
    <mergeCell ref="V218:W218"/>
    <mergeCell ref="Z218:AB218"/>
    <mergeCell ref="AD218:AE218"/>
    <mergeCell ref="AF218:AG218"/>
    <mergeCell ref="AI218:AJ218"/>
    <mergeCell ref="AK218:AL218"/>
    <mergeCell ref="F218:G218"/>
    <mergeCell ref="I218:J218"/>
    <mergeCell ref="K218:L218"/>
    <mergeCell ref="M218:N218"/>
    <mergeCell ref="P218:Q218"/>
    <mergeCell ref="S218:T218"/>
    <mergeCell ref="V219:W219"/>
    <mergeCell ref="Z219:AB219"/>
    <mergeCell ref="AD219:AE219"/>
    <mergeCell ref="AF219:AG219"/>
    <mergeCell ref="AI219:AJ219"/>
    <mergeCell ref="AK219:AL219"/>
    <mergeCell ref="F219:G219"/>
    <mergeCell ref="I219:J219"/>
    <mergeCell ref="K219:L219"/>
    <mergeCell ref="M219:N219"/>
    <mergeCell ref="P219:Q219"/>
    <mergeCell ref="S219:T219"/>
    <mergeCell ref="V220:W220"/>
    <mergeCell ref="Z220:AB220"/>
    <mergeCell ref="AD220:AE220"/>
    <mergeCell ref="AF220:AG220"/>
    <mergeCell ref="AI220:AJ220"/>
    <mergeCell ref="AK220:AL220"/>
    <mergeCell ref="F220:G220"/>
    <mergeCell ref="I220:J220"/>
    <mergeCell ref="K220:L220"/>
    <mergeCell ref="M220:N220"/>
    <mergeCell ref="P220:Q220"/>
    <mergeCell ref="S220:T220"/>
    <mergeCell ref="AF222:AJ222"/>
    <mergeCell ref="V221:W221"/>
    <mergeCell ref="Z221:AB221"/>
    <mergeCell ref="AD221:AE221"/>
    <mergeCell ref="AF221:AG221"/>
    <mergeCell ref="AI221:AJ221"/>
    <mergeCell ref="AK221:AL221"/>
    <mergeCell ref="F221:G221"/>
    <mergeCell ref="I221:J221"/>
    <mergeCell ref="K221:L221"/>
    <mergeCell ref="M221:N221"/>
    <mergeCell ref="P221:Q221"/>
    <mergeCell ref="S221:T221"/>
  </mergeCells>
  <phoneticPr fontId="3"/>
  <dataValidations count="3">
    <dataValidation type="list" allowBlank="1" showInputMessage="1" showErrorMessage="1" sqref="D140 D118 D116 D114 D94 D58 D88 D84 D92 D86 D72 D68 D60 D102 D100 D104 D106 D98 D96 D112 D110 D108 D120 D122 D124 D126 D128 D130 D132 D134 D136 D138 D70 D78 D18 D20 D22 D24 D16 D74 D28 D26 D30 D34 D38 D36 D32 D44 D46 D42 D40 D82 D80 D54 D52 D50 D48 D90 D56 D64 D983204:D983223 D917668:D917687 D852132:D852151 D786596:D786615 D721060:D721079 D655524:D655543 D589988:D590007 D524452:D524471 D458916:D458935 D393380:D393399 D327844:D327863 D262308:D262327 D196772:D196791 D131236:D131255 D65700:D65719 D10 D76 D62 D66 D12 D14" xr:uid="{A91CFF17-E85B-4D4D-97B8-28B6FBDB170E}">
      <formula1>$AU$2:$AU$6</formula1>
    </dataValidation>
    <dataValidation type="list" allowBlank="1" showInputMessage="1" showErrorMessage="1" sqref="G12:AK12 G10:AK10 G138:AK138 G136:AK136 G134:AK134 G132:AK132 G130:AK130 G128:AK128 G126:AK126 G124:AK124 G122:AK122 G140:AK140 G120:AK120 G112:AK112 G114:AK114 G116:AK116 G88:AK88 G90:AK90 G92:AK92 G94:AK94 G80:AK80 G82:AK82 G84:AK84 G86:AK86 G104:AK104 G106:AK106 G108:AK108 G110:AK110 G96:AK96 G98:AK98 G100:AK100 G102:AK102 G64:AK64 G54:AK54 G66:AK66 G30:AK30 G44:AK44 G46:AK46 G52:AK52 G56:AK56 G14:AK14 G72:AK72 G58:AK58 G76:AK76 G78:AK78 G118:AK118 G60:AK60 G62:AK62 G68:AK68 G70:AK70 G24:AK24 G26:AK26 G28:AK28 G38:AK38 G16:AK16 G18:AK18 G20:AK20 G22:AK22 G40:AK40 G42:AK42 G48:AK48 G50:AK50 G32:AK32 G34:AK34 G36:AK36 G74:AK74" xr:uid="{70F73A7C-BF63-4216-A1B8-A61257B30668}">
      <formula1>$AC$197:$AC$221</formula1>
    </dataValidation>
    <dataValidation type="list" allowBlank="1" showInputMessage="1" showErrorMessage="1" sqref="C10:C141" xr:uid="{F0FABC88-DF1E-4F63-99E0-16872FB8E06F}">
      <formula1>$E$197:$E$221</formula1>
    </dataValidation>
  </dataValidations>
  <printOptions horizontalCentered="1"/>
  <pageMargins left="0.19685039370078741" right="0.19685039370078741" top="0.39370078740157483" bottom="0.19685039370078741" header="0.31496062992125984" footer="0.31496062992125984"/>
  <pageSetup paperSize="9" scale="74" orientation="landscape" cellComments="asDisplayed" r:id="rId1"/>
  <rowBreaks count="2" manualBreakCount="2">
    <brk id="144" max="44" man="1"/>
    <brk id="177" max="44" man="1"/>
  </rowBreaks>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B1:AO130"/>
  <sheetViews>
    <sheetView showGridLines="0" view="pageBreakPreview" zoomScaleNormal="100" workbookViewId="0">
      <selection activeCell="B3" sqref="B3"/>
    </sheetView>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125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901" t="s">
        <v>82</v>
      </c>
      <c r="AA3" s="902"/>
      <c r="AB3" s="902"/>
      <c r="AC3" s="902"/>
      <c r="AD3" s="903"/>
      <c r="AE3" s="904"/>
      <c r="AF3" s="905"/>
      <c r="AG3" s="905"/>
      <c r="AH3" s="905"/>
      <c r="AI3" s="905"/>
      <c r="AJ3" s="905"/>
      <c r="AK3" s="905"/>
      <c r="AL3" s="906"/>
      <c r="AM3" s="20"/>
      <c r="AN3" s="1"/>
    </row>
    <row r="4" spans="2:40" s="2" customFormat="1">
      <c r="AN4" s="21"/>
    </row>
    <row r="5" spans="2:40" s="2" customFormat="1">
      <c r="B5" s="899" t="s">
        <v>41</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c r="AI5" s="899"/>
      <c r="AJ5" s="899"/>
      <c r="AK5" s="899"/>
      <c r="AL5" s="899"/>
    </row>
    <row r="6" spans="2:40" s="2" customFormat="1" ht="13.5" customHeight="1">
      <c r="AC6" s="1"/>
      <c r="AD6" s="45"/>
      <c r="AE6" s="45" t="s">
        <v>28</v>
      </c>
      <c r="AH6" s="2" t="s">
        <v>34</v>
      </c>
      <c r="AJ6" s="2" t="s">
        <v>30</v>
      </c>
      <c r="AL6" s="2" t="s">
        <v>29</v>
      </c>
    </row>
    <row r="7" spans="2:40" s="2" customFormat="1">
      <c r="B7" s="899" t="s">
        <v>83</v>
      </c>
      <c r="C7" s="899"/>
      <c r="D7" s="899"/>
      <c r="E7" s="899"/>
      <c r="F7" s="899"/>
      <c r="G7" s="899"/>
      <c r="H7" s="899"/>
      <c r="I7" s="899"/>
      <c r="J7" s="899"/>
      <c r="K7" s="12"/>
      <c r="L7" s="12"/>
      <c r="M7" s="12"/>
      <c r="N7" s="12"/>
      <c r="O7" s="12"/>
      <c r="P7" s="12"/>
      <c r="Q7" s="12"/>
      <c r="R7" s="12"/>
      <c r="S7" s="12"/>
      <c r="T7" s="12"/>
    </row>
    <row r="8" spans="2:40" s="2" customFormat="1">
      <c r="AC8" s="1" t="s">
        <v>75</v>
      </c>
    </row>
    <row r="9" spans="2:40" s="2" customFormat="1">
      <c r="C9" s="1" t="s">
        <v>42</v>
      </c>
      <c r="D9" s="1"/>
    </row>
    <row r="10" spans="2:40" s="2" customFormat="1" ht="6.75" customHeight="1">
      <c r="C10" s="1"/>
      <c r="D10" s="1"/>
    </row>
    <row r="11" spans="2:40" s="2" customFormat="1" ht="14.25" customHeight="1">
      <c r="B11" s="911" t="s">
        <v>84</v>
      </c>
      <c r="C11" s="914" t="s">
        <v>7</v>
      </c>
      <c r="D11" s="915"/>
      <c r="E11" s="915"/>
      <c r="F11" s="915"/>
      <c r="G11" s="915"/>
      <c r="H11" s="915"/>
      <c r="I11" s="915"/>
      <c r="J11" s="915"/>
      <c r="K11" s="1683"/>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912"/>
      <c r="C12" s="920" t="s">
        <v>85</v>
      </c>
      <c r="D12" s="921"/>
      <c r="E12" s="921"/>
      <c r="F12" s="921"/>
      <c r="G12" s="921"/>
      <c r="H12" s="921"/>
      <c r="I12" s="921"/>
      <c r="J12" s="921"/>
      <c r="K12" s="92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912"/>
      <c r="C13" s="914" t="s">
        <v>8</v>
      </c>
      <c r="D13" s="915"/>
      <c r="E13" s="915"/>
      <c r="F13" s="915"/>
      <c r="G13" s="915"/>
      <c r="H13" s="915"/>
      <c r="I13" s="915"/>
      <c r="J13" s="915"/>
      <c r="K13" s="925"/>
      <c r="L13" s="1684" t="s">
        <v>86</v>
      </c>
      <c r="M13" s="1685"/>
      <c r="N13" s="1685"/>
      <c r="O13" s="1685"/>
      <c r="P13" s="1685"/>
      <c r="Q13" s="1685"/>
      <c r="R13" s="1685"/>
      <c r="S13" s="1685"/>
      <c r="T13" s="1685"/>
      <c r="U13" s="1685"/>
      <c r="V13" s="1685"/>
      <c r="W13" s="1685"/>
      <c r="X13" s="1685"/>
      <c r="Y13" s="1685"/>
      <c r="Z13" s="1685"/>
      <c r="AA13" s="1685"/>
      <c r="AB13" s="1685"/>
      <c r="AC13" s="1685"/>
      <c r="AD13" s="1685"/>
      <c r="AE13" s="1685"/>
      <c r="AF13" s="1685"/>
      <c r="AG13" s="1685"/>
      <c r="AH13" s="1685"/>
      <c r="AI13" s="1685"/>
      <c r="AJ13" s="1685"/>
      <c r="AK13" s="1685"/>
      <c r="AL13" s="1686"/>
    </row>
    <row r="14" spans="2:40" s="2" customFormat="1">
      <c r="B14" s="912"/>
      <c r="C14" s="920"/>
      <c r="D14" s="921"/>
      <c r="E14" s="921"/>
      <c r="F14" s="921"/>
      <c r="G14" s="921"/>
      <c r="H14" s="921"/>
      <c r="I14" s="921"/>
      <c r="J14" s="921"/>
      <c r="K14" s="926"/>
      <c r="L14" s="1687" t="s">
        <v>87</v>
      </c>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1688"/>
    </row>
    <row r="15" spans="2:40" s="2" customFormat="1">
      <c r="B15" s="912"/>
      <c r="C15" s="927"/>
      <c r="D15" s="928"/>
      <c r="E15" s="928"/>
      <c r="F15" s="928"/>
      <c r="G15" s="928"/>
      <c r="H15" s="928"/>
      <c r="I15" s="928"/>
      <c r="J15" s="928"/>
      <c r="K15" s="929"/>
      <c r="L15" s="930" t="s">
        <v>88</v>
      </c>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2"/>
    </row>
    <row r="16" spans="2:40" s="2" customFormat="1" ht="14.25" customHeight="1">
      <c r="B16" s="912"/>
      <c r="C16" s="933" t="s">
        <v>89</v>
      </c>
      <c r="D16" s="934"/>
      <c r="E16" s="934"/>
      <c r="F16" s="934"/>
      <c r="G16" s="934"/>
      <c r="H16" s="934"/>
      <c r="I16" s="934"/>
      <c r="J16" s="934"/>
      <c r="K16" s="935"/>
      <c r="L16" s="901" t="s">
        <v>9</v>
      </c>
      <c r="M16" s="902"/>
      <c r="N16" s="902"/>
      <c r="O16" s="902"/>
      <c r="P16" s="903"/>
      <c r="Q16" s="24"/>
      <c r="R16" s="25"/>
      <c r="S16" s="25"/>
      <c r="T16" s="25"/>
      <c r="U16" s="25"/>
      <c r="V16" s="25"/>
      <c r="W16" s="25"/>
      <c r="X16" s="25"/>
      <c r="Y16" s="26"/>
      <c r="Z16" s="908" t="s">
        <v>10</v>
      </c>
      <c r="AA16" s="909"/>
      <c r="AB16" s="909"/>
      <c r="AC16" s="909"/>
      <c r="AD16" s="910"/>
      <c r="AE16" s="28"/>
      <c r="AF16" s="32"/>
      <c r="AG16" s="22"/>
      <c r="AH16" s="22"/>
      <c r="AI16" s="22"/>
      <c r="AJ16" s="1685"/>
      <c r="AK16" s="1685"/>
      <c r="AL16" s="1686"/>
    </row>
    <row r="17" spans="2:40" ht="14.25" customHeight="1">
      <c r="B17" s="912"/>
      <c r="C17" s="1689" t="s">
        <v>53</v>
      </c>
      <c r="D17" s="1014"/>
      <c r="E17" s="1014"/>
      <c r="F17" s="1014"/>
      <c r="G17" s="1014"/>
      <c r="H17" s="1014"/>
      <c r="I17" s="1014"/>
      <c r="J17" s="1014"/>
      <c r="K17" s="1690"/>
      <c r="L17" s="27"/>
      <c r="M17" s="27"/>
      <c r="N17" s="27"/>
      <c r="O17" s="27"/>
      <c r="P17" s="27"/>
      <c r="Q17" s="27"/>
      <c r="R17" s="27"/>
      <c r="S17" s="27"/>
      <c r="U17" s="901" t="s">
        <v>11</v>
      </c>
      <c r="V17" s="902"/>
      <c r="W17" s="902"/>
      <c r="X17" s="902"/>
      <c r="Y17" s="903"/>
      <c r="Z17" s="18"/>
      <c r="AA17" s="19"/>
      <c r="AB17" s="19"/>
      <c r="AC17" s="19"/>
      <c r="AD17" s="19"/>
      <c r="AE17" s="1691"/>
      <c r="AF17" s="1691"/>
      <c r="AG17" s="1691"/>
      <c r="AH17" s="1691"/>
      <c r="AI17" s="1691"/>
      <c r="AJ17" s="1691"/>
      <c r="AK17" s="1691"/>
      <c r="AL17" s="17"/>
      <c r="AN17" s="3"/>
    </row>
    <row r="18" spans="2:40" ht="14.25" customHeight="1">
      <c r="B18" s="912"/>
      <c r="C18" s="940" t="s">
        <v>12</v>
      </c>
      <c r="D18" s="940"/>
      <c r="E18" s="940"/>
      <c r="F18" s="940"/>
      <c r="G18" s="940"/>
      <c r="H18" s="1692"/>
      <c r="I18" s="1692"/>
      <c r="J18" s="1692"/>
      <c r="K18" s="1693"/>
      <c r="L18" s="901" t="s">
        <v>13</v>
      </c>
      <c r="M18" s="902"/>
      <c r="N18" s="902"/>
      <c r="O18" s="902"/>
      <c r="P18" s="903"/>
      <c r="Q18" s="29"/>
      <c r="R18" s="30"/>
      <c r="S18" s="30"/>
      <c r="T18" s="30"/>
      <c r="U18" s="30"/>
      <c r="V18" s="30"/>
      <c r="W18" s="30"/>
      <c r="X18" s="30"/>
      <c r="Y18" s="31"/>
      <c r="Z18" s="942" t="s">
        <v>14</v>
      </c>
      <c r="AA18" s="942"/>
      <c r="AB18" s="942"/>
      <c r="AC18" s="942"/>
      <c r="AD18" s="943"/>
      <c r="AE18" s="15"/>
      <c r="AF18" s="16"/>
      <c r="AG18" s="16"/>
      <c r="AH18" s="16"/>
      <c r="AI18" s="16"/>
      <c r="AJ18" s="16"/>
      <c r="AK18" s="16"/>
      <c r="AL18" s="17"/>
      <c r="AN18" s="3"/>
    </row>
    <row r="19" spans="2:40" ht="13.5" customHeight="1">
      <c r="B19" s="912"/>
      <c r="C19" s="949" t="s">
        <v>15</v>
      </c>
      <c r="D19" s="949"/>
      <c r="E19" s="949"/>
      <c r="F19" s="949"/>
      <c r="G19" s="949"/>
      <c r="H19" s="1694"/>
      <c r="I19" s="1694"/>
      <c r="J19" s="1694"/>
      <c r="K19" s="1694"/>
      <c r="L19" s="1684" t="s">
        <v>86</v>
      </c>
      <c r="M19" s="1685"/>
      <c r="N19" s="1685"/>
      <c r="O19" s="1685"/>
      <c r="P19" s="1685"/>
      <c r="Q19" s="1685"/>
      <c r="R19" s="1685"/>
      <c r="S19" s="1685"/>
      <c r="T19" s="1685"/>
      <c r="U19" s="1685"/>
      <c r="V19" s="1685"/>
      <c r="W19" s="1685"/>
      <c r="X19" s="1685"/>
      <c r="Y19" s="1685"/>
      <c r="Z19" s="1685"/>
      <c r="AA19" s="1685"/>
      <c r="AB19" s="1685"/>
      <c r="AC19" s="1685"/>
      <c r="AD19" s="1685"/>
      <c r="AE19" s="1685"/>
      <c r="AF19" s="1685"/>
      <c r="AG19" s="1685"/>
      <c r="AH19" s="1685"/>
      <c r="AI19" s="1685"/>
      <c r="AJ19" s="1685"/>
      <c r="AK19" s="1685"/>
      <c r="AL19" s="1686"/>
      <c r="AN19" s="3"/>
    </row>
    <row r="20" spans="2:40" ht="14.25" customHeight="1">
      <c r="B20" s="912"/>
      <c r="C20" s="949"/>
      <c r="D20" s="949"/>
      <c r="E20" s="949"/>
      <c r="F20" s="949"/>
      <c r="G20" s="949"/>
      <c r="H20" s="1694"/>
      <c r="I20" s="1694"/>
      <c r="J20" s="1694"/>
      <c r="K20" s="1694"/>
      <c r="L20" s="1687" t="s">
        <v>87</v>
      </c>
      <c r="M20" s="907"/>
      <c r="N20" s="907"/>
      <c r="O20" s="907"/>
      <c r="P20" s="907"/>
      <c r="Q20" s="907"/>
      <c r="R20" s="907"/>
      <c r="S20" s="907"/>
      <c r="T20" s="907"/>
      <c r="U20" s="907"/>
      <c r="V20" s="907"/>
      <c r="W20" s="907"/>
      <c r="X20" s="907"/>
      <c r="Y20" s="907"/>
      <c r="Z20" s="907"/>
      <c r="AA20" s="907"/>
      <c r="AB20" s="907"/>
      <c r="AC20" s="907"/>
      <c r="AD20" s="907"/>
      <c r="AE20" s="907"/>
      <c r="AF20" s="907"/>
      <c r="AG20" s="907"/>
      <c r="AH20" s="907"/>
      <c r="AI20" s="907"/>
      <c r="AJ20" s="907"/>
      <c r="AK20" s="907"/>
      <c r="AL20" s="1688"/>
      <c r="AN20" s="3"/>
    </row>
    <row r="21" spans="2:40">
      <c r="B21" s="913"/>
      <c r="C21" s="951"/>
      <c r="D21" s="951"/>
      <c r="E21" s="951"/>
      <c r="F21" s="951"/>
      <c r="G21" s="951"/>
      <c r="H21" s="1695"/>
      <c r="I21" s="1695"/>
      <c r="J21" s="1695"/>
      <c r="K21" s="1695"/>
      <c r="L21" s="1696"/>
      <c r="M21" s="1697"/>
      <c r="N21" s="1697"/>
      <c r="O21" s="1697"/>
      <c r="P21" s="1697"/>
      <c r="Q21" s="1697"/>
      <c r="R21" s="1697"/>
      <c r="S21" s="1697"/>
      <c r="T21" s="1697"/>
      <c r="U21" s="1697"/>
      <c r="V21" s="1697"/>
      <c r="W21" s="1697"/>
      <c r="X21" s="1697"/>
      <c r="Y21" s="1697"/>
      <c r="Z21" s="1697"/>
      <c r="AA21" s="1697"/>
      <c r="AB21" s="1697"/>
      <c r="AC21" s="1697"/>
      <c r="AD21" s="1697"/>
      <c r="AE21" s="1697"/>
      <c r="AF21" s="1697"/>
      <c r="AG21" s="1697"/>
      <c r="AH21" s="1697"/>
      <c r="AI21" s="1697"/>
      <c r="AJ21" s="1697"/>
      <c r="AK21" s="1697"/>
      <c r="AL21" s="1698"/>
      <c r="AN21" s="3"/>
    </row>
    <row r="22" spans="2:40" ht="13.5" customHeight="1">
      <c r="B22" s="956" t="s">
        <v>90</v>
      </c>
      <c r="C22" s="914" t="s">
        <v>122</v>
      </c>
      <c r="D22" s="915"/>
      <c r="E22" s="915"/>
      <c r="F22" s="915"/>
      <c r="G22" s="915"/>
      <c r="H22" s="915"/>
      <c r="I22" s="915"/>
      <c r="J22" s="915"/>
      <c r="K22" s="925"/>
      <c r="L22" s="1684" t="s">
        <v>86</v>
      </c>
      <c r="M22" s="1685"/>
      <c r="N22" s="1685"/>
      <c r="O22" s="1685"/>
      <c r="P22" s="1685"/>
      <c r="Q22" s="1685"/>
      <c r="R22" s="1685"/>
      <c r="S22" s="1685"/>
      <c r="T22" s="1685"/>
      <c r="U22" s="1685"/>
      <c r="V22" s="1685"/>
      <c r="W22" s="1685"/>
      <c r="X22" s="1685"/>
      <c r="Y22" s="1685"/>
      <c r="Z22" s="1685"/>
      <c r="AA22" s="1685"/>
      <c r="AB22" s="1685"/>
      <c r="AC22" s="1685"/>
      <c r="AD22" s="1685"/>
      <c r="AE22" s="1685"/>
      <c r="AF22" s="1685"/>
      <c r="AG22" s="1685"/>
      <c r="AH22" s="1685"/>
      <c r="AI22" s="1685"/>
      <c r="AJ22" s="1685"/>
      <c r="AK22" s="1685"/>
      <c r="AL22" s="1686"/>
      <c r="AN22" s="3"/>
    </row>
    <row r="23" spans="2:40" ht="14.25" customHeight="1">
      <c r="B23" s="957"/>
      <c r="C23" s="920"/>
      <c r="D23" s="921"/>
      <c r="E23" s="921"/>
      <c r="F23" s="921"/>
      <c r="G23" s="921"/>
      <c r="H23" s="921"/>
      <c r="I23" s="921"/>
      <c r="J23" s="921"/>
      <c r="K23" s="926"/>
      <c r="L23" s="1687" t="s">
        <v>87</v>
      </c>
      <c r="M23" s="907"/>
      <c r="N23" s="907"/>
      <c r="O23" s="907"/>
      <c r="P23" s="907"/>
      <c r="Q23" s="907"/>
      <c r="R23" s="907"/>
      <c r="S23" s="907"/>
      <c r="T23" s="907"/>
      <c r="U23" s="907"/>
      <c r="V23" s="907"/>
      <c r="W23" s="907"/>
      <c r="X23" s="907"/>
      <c r="Y23" s="907"/>
      <c r="Z23" s="907"/>
      <c r="AA23" s="907"/>
      <c r="AB23" s="907"/>
      <c r="AC23" s="907"/>
      <c r="AD23" s="907"/>
      <c r="AE23" s="907"/>
      <c r="AF23" s="907"/>
      <c r="AG23" s="907"/>
      <c r="AH23" s="907"/>
      <c r="AI23" s="907"/>
      <c r="AJ23" s="907"/>
      <c r="AK23" s="907"/>
      <c r="AL23" s="1688"/>
      <c r="AN23" s="3"/>
    </row>
    <row r="24" spans="2:40">
      <c r="B24" s="957"/>
      <c r="C24" s="927"/>
      <c r="D24" s="928"/>
      <c r="E24" s="928"/>
      <c r="F24" s="928"/>
      <c r="G24" s="928"/>
      <c r="H24" s="928"/>
      <c r="I24" s="928"/>
      <c r="J24" s="928"/>
      <c r="K24" s="929"/>
      <c r="L24" s="1696"/>
      <c r="M24" s="1697"/>
      <c r="N24" s="1697"/>
      <c r="O24" s="1697"/>
      <c r="P24" s="1697"/>
      <c r="Q24" s="1697"/>
      <c r="R24" s="1697"/>
      <c r="S24" s="1697"/>
      <c r="T24" s="1697"/>
      <c r="U24" s="1697"/>
      <c r="V24" s="1697"/>
      <c r="W24" s="1697"/>
      <c r="X24" s="1697"/>
      <c r="Y24" s="1697"/>
      <c r="Z24" s="1697"/>
      <c r="AA24" s="1697"/>
      <c r="AB24" s="1697"/>
      <c r="AC24" s="1697"/>
      <c r="AD24" s="1697"/>
      <c r="AE24" s="1697"/>
      <c r="AF24" s="1697"/>
      <c r="AG24" s="1697"/>
      <c r="AH24" s="1697"/>
      <c r="AI24" s="1697"/>
      <c r="AJ24" s="1697"/>
      <c r="AK24" s="1697"/>
      <c r="AL24" s="1698"/>
      <c r="AN24" s="3"/>
    </row>
    <row r="25" spans="2:40" ht="14.25" customHeight="1">
      <c r="B25" s="957"/>
      <c r="C25" s="949" t="s">
        <v>89</v>
      </c>
      <c r="D25" s="949"/>
      <c r="E25" s="949"/>
      <c r="F25" s="949"/>
      <c r="G25" s="949"/>
      <c r="H25" s="949"/>
      <c r="I25" s="949"/>
      <c r="J25" s="949"/>
      <c r="K25" s="949"/>
      <c r="L25" s="901" t="s">
        <v>9</v>
      </c>
      <c r="M25" s="902"/>
      <c r="N25" s="902"/>
      <c r="O25" s="902"/>
      <c r="P25" s="903"/>
      <c r="Q25" s="24"/>
      <c r="R25" s="25"/>
      <c r="S25" s="25"/>
      <c r="T25" s="25"/>
      <c r="U25" s="25"/>
      <c r="V25" s="25"/>
      <c r="W25" s="25"/>
      <c r="X25" s="25"/>
      <c r="Y25" s="26"/>
      <c r="Z25" s="908" t="s">
        <v>10</v>
      </c>
      <c r="AA25" s="909"/>
      <c r="AB25" s="909"/>
      <c r="AC25" s="909"/>
      <c r="AD25" s="910"/>
      <c r="AE25" s="28"/>
      <c r="AF25" s="32"/>
      <c r="AG25" s="22"/>
      <c r="AH25" s="22"/>
      <c r="AI25" s="22"/>
      <c r="AJ25" s="1685"/>
      <c r="AK25" s="1685"/>
      <c r="AL25" s="1686"/>
      <c r="AN25" s="3"/>
    </row>
    <row r="26" spans="2:40" ht="13.5" customHeight="1">
      <c r="B26" s="957"/>
      <c r="C26" s="962" t="s">
        <v>16</v>
      </c>
      <c r="D26" s="962"/>
      <c r="E26" s="962"/>
      <c r="F26" s="962"/>
      <c r="G26" s="962"/>
      <c r="H26" s="962"/>
      <c r="I26" s="962"/>
      <c r="J26" s="962"/>
      <c r="K26" s="962"/>
      <c r="L26" s="1684" t="s">
        <v>86</v>
      </c>
      <c r="M26" s="1685"/>
      <c r="N26" s="1685"/>
      <c r="O26" s="1685"/>
      <c r="P26" s="1685"/>
      <c r="Q26" s="1685"/>
      <c r="R26" s="1685"/>
      <c r="S26" s="1685"/>
      <c r="T26" s="1685"/>
      <c r="U26" s="1685"/>
      <c r="V26" s="1685"/>
      <c r="W26" s="1685"/>
      <c r="X26" s="1685"/>
      <c r="Y26" s="1685"/>
      <c r="Z26" s="1685"/>
      <c r="AA26" s="1685"/>
      <c r="AB26" s="1685"/>
      <c r="AC26" s="1685"/>
      <c r="AD26" s="1685"/>
      <c r="AE26" s="1685"/>
      <c r="AF26" s="1685"/>
      <c r="AG26" s="1685"/>
      <c r="AH26" s="1685"/>
      <c r="AI26" s="1685"/>
      <c r="AJ26" s="1685"/>
      <c r="AK26" s="1685"/>
      <c r="AL26" s="1686"/>
      <c r="AN26" s="3"/>
    </row>
    <row r="27" spans="2:40" ht="14.25" customHeight="1">
      <c r="B27" s="957"/>
      <c r="C27" s="962"/>
      <c r="D27" s="962"/>
      <c r="E27" s="962"/>
      <c r="F27" s="962"/>
      <c r="G27" s="962"/>
      <c r="H27" s="962"/>
      <c r="I27" s="962"/>
      <c r="J27" s="962"/>
      <c r="K27" s="962"/>
      <c r="L27" s="1687" t="s">
        <v>87</v>
      </c>
      <c r="M27" s="907"/>
      <c r="N27" s="907"/>
      <c r="O27" s="907"/>
      <c r="P27" s="907"/>
      <c r="Q27" s="907"/>
      <c r="R27" s="907"/>
      <c r="S27" s="907"/>
      <c r="T27" s="907"/>
      <c r="U27" s="907"/>
      <c r="V27" s="907"/>
      <c r="W27" s="907"/>
      <c r="X27" s="907"/>
      <c r="Y27" s="907"/>
      <c r="Z27" s="907"/>
      <c r="AA27" s="907"/>
      <c r="AB27" s="907"/>
      <c r="AC27" s="907"/>
      <c r="AD27" s="907"/>
      <c r="AE27" s="907"/>
      <c r="AF27" s="907"/>
      <c r="AG27" s="907"/>
      <c r="AH27" s="907"/>
      <c r="AI27" s="907"/>
      <c r="AJ27" s="907"/>
      <c r="AK27" s="907"/>
      <c r="AL27" s="1688"/>
      <c r="AN27" s="3"/>
    </row>
    <row r="28" spans="2:40">
      <c r="B28" s="957"/>
      <c r="C28" s="962"/>
      <c r="D28" s="962"/>
      <c r="E28" s="962"/>
      <c r="F28" s="962"/>
      <c r="G28" s="962"/>
      <c r="H28" s="962"/>
      <c r="I28" s="962"/>
      <c r="J28" s="962"/>
      <c r="K28" s="962"/>
      <c r="L28" s="1696"/>
      <c r="M28" s="1697"/>
      <c r="N28" s="1697"/>
      <c r="O28" s="1697"/>
      <c r="P28" s="1697"/>
      <c r="Q28" s="1697"/>
      <c r="R28" s="1697"/>
      <c r="S28" s="1697"/>
      <c r="T28" s="1697"/>
      <c r="U28" s="1697"/>
      <c r="V28" s="1697"/>
      <c r="W28" s="1697"/>
      <c r="X28" s="1697"/>
      <c r="Y28" s="1697"/>
      <c r="Z28" s="1697"/>
      <c r="AA28" s="1697"/>
      <c r="AB28" s="1697"/>
      <c r="AC28" s="1697"/>
      <c r="AD28" s="1697"/>
      <c r="AE28" s="1697"/>
      <c r="AF28" s="1697"/>
      <c r="AG28" s="1697"/>
      <c r="AH28" s="1697"/>
      <c r="AI28" s="1697"/>
      <c r="AJ28" s="1697"/>
      <c r="AK28" s="1697"/>
      <c r="AL28" s="1698"/>
      <c r="AN28" s="3"/>
    </row>
    <row r="29" spans="2:40" ht="14.25" customHeight="1">
      <c r="B29" s="957"/>
      <c r="C29" s="949" t="s">
        <v>89</v>
      </c>
      <c r="D29" s="949"/>
      <c r="E29" s="949"/>
      <c r="F29" s="949"/>
      <c r="G29" s="949"/>
      <c r="H29" s="949"/>
      <c r="I29" s="949"/>
      <c r="J29" s="949"/>
      <c r="K29" s="949"/>
      <c r="L29" s="901" t="s">
        <v>9</v>
      </c>
      <c r="M29" s="902"/>
      <c r="N29" s="902"/>
      <c r="O29" s="902"/>
      <c r="P29" s="903"/>
      <c r="Q29" s="28"/>
      <c r="R29" s="32"/>
      <c r="S29" s="32"/>
      <c r="T29" s="32"/>
      <c r="U29" s="32"/>
      <c r="V29" s="32"/>
      <c r="W29" s="32"/>
      <c r="X29" s="32"/>
      <c r="Y29" s="33"/>
      <c r="Z29" s="908" t="s">
        <v>10</v>
      </c>
      <c r="AA29" s="909"/>
      <c r="AB29" s="909"/>
      <c r="AC29" s="909"/>
      <c r="AD29" s="910"/>
      <c r="AE29" s="28"/>
      <c r="AF29" s="32"/>
      <c r="AG29" s="22"/>
      <c r="AH29" s="22"/>
      <c r="AI29" s="22"/>
      <c r="AJ29" s="1685"/>
      <c r="AK29" s="1685"/>
      <c r="AL29" s="1686"/>
      <c r="AN29" s="3"/>
    </row>
    <row r="30" spans="2:40" ht="14.25" customHeight="1">
      <c r="B30" s="957"/>
      <c r="C30" s="949" t="s">
        <v>17</v>
      </c>
      <c r="D30" s="949"/>
      <c r="E30" s="949"/>
      <c r="F30" s="949"/>
      <c r="G30" s="949"/>
      <c r="H30" s="949"/>
      <c r="I30" s="949"/>
      <c r="J30" s="949"/>
      <c r="K30" s="949"/>
      <c r="L30" s="1699"/>
      <c r="M30" s="1699"/>
      <c r="N30" s="1699"/>
      <c r="O30" s="1699"/>
      <c r="P30" s="1699"/>
      <c r="Q30" s="1699"/>
      <c r="R30" s="1699"/>
      <c r="S30" s="1699"/>
      <c r="T30" s="1699"/>
      <c r="U30" s="1699"/>
      <c r="V30" s="1699"/>
      <c r="W30" s="1699"/>
      <c r="X30" s="1699"/>
      <c r="Y30" s="1699"/>
      <c r="Z30" s="1699"/>
      <c r="AA30" s="1699"/>
      <c r="AB30" s="1699"/>
      <c r="AC30" s="1699"/>
      <c r="AD30" s="1699"/>
      <c r="AE30" s="1699"/>
      <c r="AF30" s="1699"/>
      <c r="AG30" s="1699"/>
      <c r="AH30" s="1699"/>
      <c r="AI30" s="1699"/>
      <c r="AJ30" s="1699"/>
      <c r="AK30" s="1699"/>
      <c r="AL30" s="1699"/>
      <c r="AN30" s="3"/>
    </row>
    <row r="31" spans="2:40" ht="13.5" customHeight="1">
      <c r="B31" s="957"/>
      <c r="C31" s="949" t="s">
        <v>18</v>
      </c>
      <c r="D31" s="949"/>
      <c r="E31" s="949"/>
      <c r="F31" s="949"/>
      <c r="G31" s="949"/>
      <c r="H31" s="949"/>
      <c r="I31" s="949"/>
      <c r="J31" s="949"/>
      <c r="K31" s="949"/>
      <c r="L31" s="1684" t="s">
        <v>86</v>
      </c>
      <c r="M31" s="1685"/>
      <c r="N31" s="1685"/>
      <c r="O31" s="1685"/>
      <c r="P31" s="1685"/>
      <c r="Q31" s="1685"/>
      <c r="R31" s="1685"/>
      <c r="S31" s="1685"/>
      <c r="T31" s="1685"/>
      <c r="U31" s="1685"/>
      <c r="V31" s="1685"/>
      <c r="W31" s="1685"/>
      <c r="X31" s="1685"/>
      <c r="Y31" s="1685"/>
      <c r="Z31" s="1685"/>
      <c r="AA31" s="1685"/>
      <c r="AB31" s="1685"/>
      <c r="AC31" s="1685"/>
      <c r="AD31" s="1685"/>
      <c r="AE31" s="1685"/>
      <c r="AF31" s="1685"/>
      <c r="AG31" s="1685"/>
      <c r="AH31" s="1685"/>
      <c r="AI31" s="1685"/>
      <c r="AJ31" s="1685"/>
      <c r="AK31" s="1685"/>
      <c r="AL31" s="1686"/>
      <c r="AN31" s="3"/>
    </row>
    <row r="32" spans="2:40" ht="14.25" customHeight="1">
      <c r="B32" s="957"/>
      <c r="C32" s="949"/>
      <c r="D32" s="949"/>
      <c r="E32" s="949"/>
      <c r="F32" s="949"/>
      <c r="G32" s="949"/>
      <c r="H32" s="949"/>
      <c r="I32" s="949"/>
      <c r="J32" s="949"/>
      <c r="K32" s="949"/>
      <c r="L32" s="1687" t="s">
        <v>87</v>
      </c>
      <c r="M32" s="907"/>
      <c r="N32" s="907"/>
      <c r="O32" s="907"/>
      <c r="P32" s="907"/>
      <c r="Q32" s="907"/>
      <c r="R32" s="907"/>
      <c r="S32" s="907"/>
      <c r="T32" s="907"/>
      <c r="U32" s="907"/>
      <c r="V32" s="907"/>
      <c r="W32" s="907"/>
      <c r="X32" s="907"/>
      <c r="Y32" s="907"/>
      <c r="Z32" s="907"/>
      <c r="AA32" s="907"/>
      <c r="AB32" s="907"/>
      <c r="AC32" s="907"/>
      <c r="AD32" s="907"/>
      <c r="AE32" s="907"/>
      <c r="AF32" s="907"/>
      <c r="AG32" s="907"/>
      <c r="AH32" s="907"/>
      <c r="AI32" s="907"/>
      <c r="AJ32" s="907"/>
      <c r="AK32" s="907"/>
      <c r="AL32" s="1688"/>
      <c r="AN32" s="3"/>
    </row>
    <row r="33" spans="2:40">
      <c r="B33" s="958"/>
      <c r="C33" s="949"/>
      <c r="D33" s="949"/>
      <c r="E33" s="949"/>
      <c r="F33" s="949"/>
      <c r="G33" s="949"/>
      <c r="H33" s="949"/>
      <c r="I33" s="949"/>
      <c r="J33" s="949"/>
      <c r="K33" s="949"/>
      <c r="L33" s="1696"/>
      <c r="M33" s="1697"/>
      <c r="N33" s="931"/>
      <c r="O33" s="931"/>
      <c r="P33" s="931"/>
      <c r="Q33" s="931"/>
      <c r="R33" s="931"/>
      <c r="S33" s="931"/>
      <c r="T33" s="931"/>
      <c r="U33" s="931"/>
      <c r="V33" s="931"/>
      <c r="W33" s="931"/>
      <c r="X33" s="931"/>
      <c r="Y33" s="931"/>
      <c r="Z33" s="931"/>
      <c r="AA33" s="931"/>
      <c r="AB33" s="931"/>
      <c r="AC33" s="1697"/>
      <c r="AD33" s="1697"/>
      <c r="AE33" s="1697"/>
      <c r="AF33" s="1697"/>
      <c r="AG33" s="1697"/>
      <c r="AH33" s="931"/>
      <c r="AI33" s="931"/>
      <c r="AJ33" s="931"/>
      <c r="AK33" s="931"/>
      <c r="AL33" s="932"/>
      <c r="AN33" s="3"/>
    </row>
    <row r="34" spans="2:40" ht="13.5" customHeight="1">
      <c r="B34" s="956" t="s">
        <v>43</v>
      </c>
      <c r="C34" s="1024" t="s">
        <v>91</v>
      </c>
      <c r="D34" s="1025"/>
      <c r="E34" s="1025"/>
      <c r="F34" s="1025"/>
      <c r="G34" s="1025"/>
      <c r="H34" s="1025"/>
      <c r="I34" s="1025"/>
      <c r="J34" s="1025"/>
      <c r="K34" s="1025"/>
      <c r="L34" s="1025"/>
      <c r="M34" s="1716" t="s">
        <v>19</v>
      </c>
      <c r="N34" s="1717"/>
      <c r="O34" s="53" t="s">
        <v>45</v>
      </c>
      <c r="P34" s="49"/>
      <c r="Q34" s="50"/>
      <c r="R34" s="1038" t="s">
        <v>20</v>
      </c>
      <c r="S34" s="1039"/>
      <c r="T34" s="1039"/>
      <c r="U34" s="1039"/>
      <c r="V34" s="1039"/>
      <c r="W34" s="1039"/>
      <c r="X34" s="1040"/>
      <c r="Y34" s="1720" t="s">
        <v>56</v>
      </c>
      <c r="Z34" s="1721"/>
      <c r="AA34" s="1721"/>
      <c r="AB34" s="1722"/>
      <c r="AC34" s="1723" t="s">
        <v>57</v>
      </c>
      <c r="AD34" s="1724"/>
      <c r="AE34" s="1724"/>
      <c r="AF34" s="1724"/>
      <c r="AG34" s="1725"/>
      <c r="AH34" s="1700" t="s">
        <v>50</v>
      </c>
      <c r="AI34" s="1701"/>
      <c r="AJ34" s="1701"/>
      <c r="AK34" s="1701"/>
      <c r="AL34" s="1702"/>
      <c r="AN34" s="3"/>
    </row>
    <row r="35" spans="2:40" ht="14.25" customHeight="1">
      <c r="B35" s="957"/>
      <c r="C35" s="1027"/>
      <c r="D35" s="1028"/>
      <c r="E35" s="1028"/>
      <c r="F35" s="1028"/>
      <c r="G35" s="1028"/>
      <c r="H35" s="1028"/>
      <c r="I35" s="1028"/>
      <c r="J35" s="1028"/>
      <c r="K35" s="1028"/>
      <c r="L35" s="1028"/>
      <c r="M35" s="1718"/>
      <c r="N35" s="1719"/>
      <c r="O35" s="54" t="s">
        <v>46</v>
      </c>
      <c r="P35" s="51"/>
      <c r="Q35" s="52"/>
      <c r="R35" s="1158"/>
      <c r="S35" s="1159"/>
      <c r="T35" s="1159"/>
      <c r="U35" s="1159"/>
      <c r="V35" s="1159"/>
      <c r="W35" s="1159"/>
      <c r="X35" s="1160"/>
      <c r="Y35" s="55" t="s">
        <v>31</v>
      </c>
      <c r="Z35" s="14"/>
      <c r="AA35" s="14"/>
      <c r="AB35" s="14"/>
      <c r="AC35" s="1703" t="s">
        <v>32</v>
      </c>
      <c r="AD35" s="1704"/>
      <c r="AE35" s="1704"/>
      <c r="AF35" s="1704"/>
      <c r="AG35" s="1705"/>
      <c r="AH35" s="1706" t="s">
        <v>51</v>
      </c>
      <c r="AI35" s="1707"/>
      <c r="AJ35" s="1707"/>
      <c r="AK35" s="1707"/>
      <c r="AL35" s="1708"/>
      <c r="AN35" s="3"/>
    </row>
    <row r="36" spans="2:40" ht="14.25" customHeight="1">
      <c r="B36" s="957"/>
      <c r="C36" s="912"/>
      <c r="D36" s="68"/>
      <c r="E36" s="1709" t="s">
        <v>2</v>
      </c>
      <c r="F36" s="1709"/>
      <c r="G36" s="1709"/>
      <c r="H36" s="1709"/>
      <c r="I36" s="1709"/>
      <c r="J36" s="1709"/>
      <c r="K36" s="1709"/>
      <c r="L36" s="1710"/>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c r="B37" s="957"/>
      <c r="C37" s="912"/>
      <c r="D37" s="68"/>
      <c r="E37" s="1709" t="s">
        <v>3</v>
      </c>
      <c r="F37" s="1711"/>
      <c r="G37" s="1711"/>
      <c r="H37" s="1711"/>
      <c r="I37" s="1711"/>
      <c r="J37" s="1711"/>
      <c r="K37" s="1711"/>
      <c r="L37" s="1712"/>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c r="B38" s="957"/>
      <c r="C38" s="912"/>
      <c r="D38" s="68"/>
      <c r="E38" s="1709" t="s">
        <v>4</v>
      </c>
      <c r="F38" s="1711"/>
      <c r="G38" s="1711"/>
      <c r="H38" s="1711"/>
      <c r="I38" s="1711"/>
      <c r="J38" s="1711"/>
      <c r="K38" s="1711"/>
      <c r="L38" s="1712"/>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c r="B39" s="957"/>
      <c r="C39" s="912"/>
      <c r="D39" s="68"/>
      <c r="E39" s="1709" t="s">
        <v>6</v>
      </c>
      <c r="F39" s="1711"/>
      <c r="G39" s="1711"/>
      <c r="H39" s="1711"/>
      <c r="I39" s="1711"/>
      <c r="J39" s="1711"/>
      <c r="K39" s="1711"/>
      <c r="L39" s="1712"/>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c r="B40" s="957"/>
      <c r="C40" s="912"/>
      <c r="D40" s="68"/>
      <c r="E40" s="1709" t="s">
        <v>5</v>
      </c>
      <c r="F40" s="1711"/>
      <c r="G40" s="1711"/>
      <c r="H40" s="1711"/>
      <c r="I40" s="1711"/>
      <c r="J40" s="1711"/>
      <c r="K40" s="1711"/>
      <c r="L40" s="1712"/>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c r="B41" s="957"/>
      <c r="C41" s="912"/>
      <c r="D41" s="69"/>
      <c r="E41" s="1713" t="s">
        <v>44</v>
      </c>
      <c r="F41" s="1714"/>
      <c r="G41" s="1714"/>
      <c r="H41" s="1714"/>
      <c r="I41" s="1714"/>
      <c r="J41" s="1714"/>
      <c r="K41" s="1714"/>
      <c r="L41" s="1715"/>
      <c r="M41" s="70"/>
      <c r="N41" s="35"/>
      <c r="O41" s="79"/>
      <c r="P41" s="34"/>
      <c r="Q41" s="35"/>
      <c r="R41" s="4" t="s">
        <v>58</v>
      </c>
      <c r="S41" s="80"/>
      <c r="T41" s="80"/>
      <c r="U41" s="80"/>
      <c r="V41" s="80"/>
      <c r="W41" s="80"/>
      <c r="X41" s="80"/>
      <c r="Y41" s="6"/>
      <c r="Z41" s="66"/>
      <c r="AA41" s="66"/>
      <c r="AB41" s="66"/>
      <c r="AC41" s="56"/>
      <c r="AD41" s="57"/>
      <c r="AE41" s="57"/>
      <c r="AF41" s="57"/>
      <c r="AG41" s="58"/>
      <c r="AH41" s="56"/>
      <c r="AI41" s="57"/>
      <c r="AJ41" s="57"/>
      <c r="AK41" s="57"/>
      <c r="AL41" s="58" t="s">
        <v>61</v>
      </c>
      <c r="AN41" s="3"/>
    </row>
    <row r="42" spans="2:40" ht="14.25" customHeight="1" thickTop="1">
      <c r="B42" s="957"/>
      <c r="C42" s="912"/>
      <c r="D42" s="71"/>
      <c r="E42" s="1726" t="s">
        <v>76</v>
      </c>
      <c r="F42" s="1726"/>
      <c r="G42" s="1726"/>
      <c r="H42" s="1726"/>
      <c r="I42" s="1726"/>
      <c r="J42" s="1726"/>
      <c r="K42" s="1726"/>
      <c r="L42" s="1727"/>
      <c r="M42" s="72"/>
      <c r="N42" s="74"/>
      <c r="O42" s="81"/>
      <c r="P42" s="73"/>
      <c r="Q42" s="74"/>
      <c r="R42" s="82" t="s">
        <v>58</v>
      </c>
      <c r="S42" s="83"/>
      <c r="T42" s="83"/>
      <c r="U42" s="83"/>
      <c r="V42" s="83"/>
      <c r="W42" s="83"/>
      <c r="X42" s="83"/>
      <c r="Y42" s="75"/>
      <c r="Z42" s="76"/>
      <c r="AA42" s="76"/>
      <c r="AB42" s="76"/>
      <c r="AC42" s="84"/>
      <c r="AD42" s="77"/>
      <c r="AE42" s="77"/>
      <c r="AF42" s="77"/>
      <c r="AG42" s="78"/>
      <c r="AH42" s="84"/>
      <c r="AI42" s="77"/>
      <c r="AJ42" s="77"/>
      <c r="AK42" s="77"/>
      <c r="AL42" s="78" t="s">
        <v>61</v>
      </c>
      <c r="AN42" s="3"/>
    </row>
    <row r="43" spans="2:40" ht="14.25" customHeight="1">
      <c r="B43" s="957"/>
      <c r="C43" s="912"/>
      <c r="D43" s="68"/>
      <c r="E43" s="1709" t="s">
        <v>77</v>
      </c>
      <c r="F43" s="1711"/>
      <c r="G43" s="1711"/>
      <c r="H43" s="1711"/>
      <c r="I43" s="1711"/>
      <c r="J43" s="1711"/>
      <c r="K43" s="1711"/>
      <c r="L43" s="1712"/>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c r="B44" s="957"/>
      <c r="C44" s="912"/>
      <c r="D44" s="68"/>
      <c r="E44" s="1709" t="s">
        <v>78</v>
      </c>
      <c r="F44" s="1711"/>
      <c r="G44" s="1711"/>
      <c r="H44" s="1711"/>
      <c r="I44" s="1711"/>
      <c r="J44" s="1711"/>
      <c r="K44" s="1711"/>
      <c r="L44" s="1712"/>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c r="B45" s="957"/>
      <c r="C45" s="912"/>
      <c r="D45" s="68"/>
      <c r="E45" s="1709" t="s">
        <v>79</v>
      </c>
      <c r="F45" s="1711"/>
      <c r="G45" s="1711"/>
      <c r="H45" s="1711"/>
      <c r="I45" s="1711"/>
      <c r="J45" s="1711"/>
      <c r="K45" s="1711"/>
      <c r="L45" s="1712"/>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c r="B46" s="957"/>
      <c r="C46" s="912"/>
      <c r="D46" s="68"/>
      <c r="E46" s="1709" t="s">
        <v>80</v>
      </c>
      <c r="F46" s="1711"/>
      <c r="G46" s="1711"/>
      <c r="H46" s="1711"/>
      <c r="I46" s="1711"/>
      <c r="J46" s="1711"/>
      <c r="K46" s="1711"/>
      <c r="L46" s="1712"/>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c r="B47" s="958"/>
      <c r="C47" s="912"/>
      <c r="D47" s="68"/>
      <c r="E47" s="1709" t="s">
        <v>81</v>
      </c>
      <c r="F47" s="1711"/>
      <c r="G47" s="1711"/>
      <c r="H47" s="1711"/>
      <c r="I47" s="1711"/>
      <c r="J47" s="1711"/>
      <c r="K47" s="1711"/>
      <c r="L47" s="1712"/>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c r="B48" s="1173" t="s">
        <v>47</v>
      </c>
      <c r="C48" s="1173"/>
      <c r="D48" s="1173"/>
      <c r="E48" s="1173"/>
      <c r="F48" s="1173"/>
      <c r="G48" s="1173"/>
      <c r="H48" s="1173"/>
      <c r="I48" s="1173"/>
      <c r="J48" s="1173"/>
      <c r="K48" s="117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173" t="s">
        <v>48</v>
      </c>
      <c r="C49" s="1173"/>
      <c r="D49" s="1173"/>
      <c r="E49" s="1173"/>
      <c r="F49" s="1173"/>
      <c r="G49" s="1173"/>
      <c r="H49" s="1173"/>
      <c r="I49" s="1173"/>
      <c r="J49" s="1173"/>
      <c r="K49" s="116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940" t="s">
        <v>21</v>
      </c>
      <c r="C50" s="940"/>
      <c r="D50" s="940"/>
      <c r="E50" s="940"/>
      <c r="F50" s="940"/>
      <c r="G50" s="940"/>
      <c r="H50" s="940"/>
      <c r="I50" s="940"/>
      <c r="J50" s="940"/>
      <c r="K50" s="940"/>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c r="B51" s="1728" t="s">
        <v>49</v>
      </c>
      <c r="C51" s="1728"/>
      <c r="D51" s="1728"/>
      <c r="E51" s="1728"/>
      <c r="F51" s="1728"/>
      <c r="G51" s="1728"/>
      <c r="H51" s="1728"/>
      <c r="I51" s="1728"/>
      <c r="J51" s="1728"/>
      <c r="K51" s="172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021" t="s">
        <v>40</v>
      </c>
      <c r="C52" s="1022"/>
      <c r="D52" s="1022"/>
      <c r="E52" s="1022"/>
      <c r="F52" s="1022"/>
      <c r="G52" s="1022"/>
      <c r="H52" s="1022"/>
      <c r="I52" s="1022"/>
      <c r="J52" s="1022"/>
      <c r="K52" s="1022"/>
      <c r="L52" s="1022"/>
      <c r="M52" s="1022"/>
      <c r="N52" s="102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911" t="s">
        <v>22</v>
      </c>
      <c r="C53" s="941" t="s">
        <v>92</v>
      </c>
      <c r="D53" s="942"/>
      <c r="E53" s="942"/>
      <c r="F53" s="942"/>
      <c r="G53" s="942"/>
      <c r="H53" s="942"/>
      <c r="I53" s="942"/>
      <c r="J53" s="942"/>
      <c r="K53" s="942"/>
      <c r="L53" s="942"/>
      <c r="M53" s="942"/>
      <c r="N53" s="942"/>
      <c r="O53" s="942"/>
      <c r="P53" s="942"/>
      <c r="Q53" s="942"/>
      <c r="R53" s="942"/>
      <c r="S53" s="942"/>
      <c r="T53" s="943"/>
      <c r="U53" s="941" t="s">
        <v>33</v>
      </c>
      <c r="V53" s="1035"/>
      <c r="W53" s="1035"/>
      <c r="X53" s="1035"/>
      <c r="Y53" s="1035"/>
      <c r="Z53" s="1035"/>
      <c r="AA53" s="1035"/>
      <c r="AB53" s="1035"/>
      <c r="AC53" s="1035"/>
      <c r="AD53" s="1035"/>
      <c r="AE53" s="1035"/>
      <c r="AF53" s="1035"/>
      <c r="AG53" s="1035"/>
      <c r="AH53" s="1035"/>
      <c r="AI53" s="1035"/>
      <c r="AJ53" s="1035"/>
      <c r="AK53" s="1035"/>
      <c r="AL53" s="1729"/>
      <c r="AN53" s="3"/>
    </row>
    <row r="54" spans="2:40">
      <c r="B54" s="912"/>
      <c r="C54" s="1730"/>
      <c r="D54" s="1033"/>
      <c r="E54" s="1033"/>
      <c r="F54" s="1033"/>
      <c r="G54" s="1033"/>
      <c r="H54" s="1033"/>
      <c r="I54" s="1033"/>
      <c r="J54" s="1033"/>
      <c r="K54" s="1033"/>
      <c r="L54" s="1033"/>
      <c r="M54" s="1033"/>
      <c r="N54" s="1033"/>
      <c r="O54" s="1033"/>
      <c r="P54" s="1033"/>
      <c r="Q54" s="1033"/>
      <c r="R54" s="1033"/>
      <c r="S54" s="1033"/>
      <c r="T54" s="1717"/>
      <c r="U54" s="1730"/>
      <c r="V54" s="1033"/>
      <c r="W54" s="1033"/>
      <c r="X54" s="1033"/>
      <c r="Y54" s="1033"/>
      <c r="Z54" s="1033"/>
      <c r="AA54" s="1033"/>
      <c r="AB54" s="1033"/>
      <c r="AC54" s="1033"/>
      <c r="AD54" s="1033"/>
      <c r="AE54" s="1033"/>
      <c r="AF54" s="1033"/>
      <c r="AG54" s="1033"/>
      <c r="AH54" s="1033"/>
      <c r="AI54" s="1033"/>
      <c r="AJ54" s="1033"/>
      <c r="AK54" s="1033"/>
      <c r="AL54" s="1717"/>
      <c r="AN54" s="3"/>
    </row>
    <row r="55" spans="2:40">
      <c r="B55" s="912"/>
      <c r="C55" s="1731"/>
      <c r="D55" s="1732"/>
      <c r="E55" s="1732"/>
      <c r="F55" s="1732"/>
      <c r="G55" s="1732"/>
      <c r="H55" s="1732"/>
      <c r="I55" s="1732"/>
      <c r="J55" s="1732"/>
      <c r="K55" s="1732"/>
      <c r="L55" s="1732"/>
      <c r="M55" s="1732"/>
      <c r="N55" s="1732"/>
      <c r="O55" s="1732"/>
      <c r="P55" s="1732"/>
      <c r="Q55" s="1732"/>
      <c r="R55" s="1732"/>
      <c r="S55" s="1732"/>
      <c r="T55" s="1719"/>
      <c r="U55" s="1731"/>
      <c r="V55" s="1732"/>
      <c r="W55" s="1732"/>
      <c r="X55" s="1732"/>
      <c r="Y55" s="1732"/>
      <c r="Z55" s="1732"/>
      <c r="AA55" s="1732"/>
      <c r="AB55" s="1732"/>
      <c r="AC55" s="1732"/>
      <c r="AD55" s="1732"/>
      <c r="AE55" s="1732"/>
      <c r="AF55" s="1732"/>
      <c r="AG55" s="1732"/>
      <c r="AH55" s="1732"/>
      <c r="AI55" s="1732"/>
      <c r="AJ55" s="1732"/>
      <c r="AK55" s="1732"/>
      <c r="AL55" s="1719"/>
      <c r="AN55" s="3"/>
    </row>
    <row r="56" spans="2:40">
      <c r="B56" s="912"/>
      <c r="C56" s="1731"/>
      <c r="D56" s="1732"/>
      <c r="E56" s="1732"/>
      <c r="F56" s="1732"/>
      <c r="G56" s="1732"/>
      <c r="H56" s="1732"/>
      <c r="I56" s="1732"/>
      <c r="J56" s="1732"/>
      <c r="K56" s="1732"/>
      <c r="L56" s="1732"/>
      <c r="M56" s="1732"/>
      <c r="N56" s="1732"/>
      <c r="O56" s="1732"/>
      <c r="P56" s="1732"/>
      <c r="Q56" s="1732"/>
      <c r="R56" s="1732"/>
      <c r="S56" s="1732"/>
      <c r="T56" s="1719"/>
      <c r="U56" s="1731"/>
      <c r="V56" s="1732"/>
      <c r="W56" s="1732"/>
      <c r="X56" s="1732"/>
      <c r="Y56" s="1732"/>
      <c r="Z56" s="1732"/>
      <c r="AA56" s="1732"/>
      <c r="AB56" s="1732"/>
      <c r="AC56" s="1732"/>
      <c r="AD56" s="1732"/>
      <c r="AE56" s="1732"/>
      <c r="AF56" s="1732"/>
      <c r="AG56" s="1732"/>
      <c r="AH56" s="1732"/>
      <c r="AI56" s="1732"/>
      <c r="AJ56" s="1732"/>
      <c r="AK56" s="1732"/>
      <c r="AL56" s="1719"/>
      <c r="AN56" s="3"/>
    </row>
    <row r="57" spans="2:40">
      <c r="B57" s="913"/>
      <c r="C57" s="1733"/>
      <c r="D57" s="1035"/>
      <c r="E57" s="1035"/>
      <c r="F57" s="1035"/>
      <c r="G57" s="1035"/>
      <c r="H57" s="1035"/>
      <c r="I57" s="1035"/>
      <c r="J57" s="1035"/>
      <c r="K57" s="1035"/>
      <c r="L57" s="1035"/>
      <c r="M57" s="1035"/>
      <c r="N57" s="1035"/>
      <c r="O57" s="1035"/>
      <c r="P57" s="1035"/>
      <c r="Q57" s="1035"/>
      <c r="R57" s="1035"/>
      <c r="S57" s="1035"/>
      <c r="T57" s="1729"/>
      <c r="U57" s="1733"/>
      <c r="V57" s="1035"/>
      <c r="W57" s="1035"/>
      <c r="X57" s="1035"/>
      <c r="Y57" s="1035"/>
      <c r="Z57" s="1035"/>
      <c r="AA57" s="1035"/>
      <c r="AB57" s="1035"/>
      <c r="AC57" s="1035"/>
      <c r="AD57" s="1035"/>
      <c r="AE57" s="1035"/>
      <c r="AF57" s="1035"/>
      <c r="AG57" s="1035"/>
      <c r="AH57" s="1035"/>
      <c r="AI57" s="1035"/>
      <c r="AJ57" s="1035"/>
      <c r="AK57" s="1035"/>
      <c r="AL57" s="1729"/>
      <c r="AN57" s="3"/>
    </row>
    <row r="58" spans="2:40" ht="14.25" customHeight="1">
      <c r="B58" s="901" t="s">
        <v>23</v>
      </c>
      <c r="C58" s="902"/>
      <c r="D58" s="902"/>
      <c r="E58" s="902"/>
      <c r="F58" s="903"/>
      <c r="G58" s="940" t="s">
        <v>24</v>
      </c>
      <c r="H58" s="940"/>
      <c r="I58" s="940"/>
      <c r="J58" s="940"/>
      <c r="K58" s="940"/>
      <c r="L58" s="940"/>
      <c r="M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K58" s="940"/>
      <c r="AL58" s="940"/>
      <c r="AN58" s="3"/>
    </row>
    <row r="60" spans="2:40">
      <c r="B60" s="14" t="s">
        <v>52</v>
      </c>
    </row>
    <row r="61" spans="2:40">
      <c r="B61" s="14" t="s">
        <v>118</v>
      </c>
    </row>
    <row r="62" spans="2:40">
      <c r="B62" s="14" t="s">
        <v>119</v>
      </c>
    </row>
    <row r="63" spans="2:40">
      <c r="B63" s="14" t="s">
        <v>123</v>
      </c>
    </row>
    <row r="64" spans="2:40">
      <c r="B64" s="14" t="s">
        <v>59</v>
      </c>
    </row>
    <row r="65" spans="2:41">
      <c r="B65" s="14" t="s">
        <v>93</v>
      </c>
    </row>
    <row r="66" spans="2:41">
      <c r="B66" s="14" t="s">
        <v>60</v>
      </c>
      <c r="AN66" s="3"/>
      <c r="AO66" s="14"/>
    </row>
    <row r="67" spans="2:41">
      <c r="B67" s="14" t="s">
        <v>54</v>
      </c>
    </row>
    <row r="68" spans="2:41">
      <c r="B68" s="14" t="s">
        <v>62</v>
      </c>
    </row>
    <row r="69" spans="2:41">
      <c r="B69" s="14" t="s">
        <v>120</v>
      </c>
    </row>
    <row r="70" spans="2:41">
      <c r="B70" s="14" t="s">
        <v>117</v>
      </c>
    </row>
    <row r="84" spans="2:2" ht="12.75" customHeight="1">
      <c r="B84" s="46"/>
    </row>
    <row r="85" spans="2:2" ht="12.75" customHeight="1">
      <c r="B85" s="46" t="s">
        <v>35</v>
      </c>
    </row>
    <row r="86" spans="2:2" ht="12.75" customHeight="1">
      <c r="B86" s="46" t="s">
        <v>25</v>
      </c>
    </row>
    <row r="87" spans="2:2" ht="12.75" customHeight="1">
      <c r="B87" s="46" t="s">
        <v>26</v>
      </c>
    </row>
    <row r="88" spans="2:2" ht="12.75" customHeight="1">
      <c r="B88" s="46" t="s">
        <v>36</v>
      </c>
    </row>
    <row r="89" spans="2:2" ht="12.75" customHeight="1">
      <c r="B89" s="46" t="s">
        <v>27</v>
      </c>
    </row>
    <row r="90" spans="2:2" ht="12.75" customHeight="1">
      <c r="B90" s="46" t="s">
        <v>37</v>
      </c>
    </row>
    <row r="91" spans="2:2" ht="12.75" customHeight="1">
      <c r="B91" s="46" t="s">
        <v>38</v>
      </c>
    </row>
    <row r="92" spans="2:2" ht="12.75" customHeight="1">
      <c r="B92" s="46" t="s">
        <v>39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B48:K48"/>
    <mergeCell ref="B49:K49"/>
    <mergeCell ref="B50:K50"/>
    <mergeCell ref="B34:B47"/>
    <mergeCell ref="C34:L35"/>
    <mergeCell ref="C42:C47"/>
    <mergeCell ref="E42:L42"/>
    <mergeCell ref="E43:L43"/>
    <mergeCell ref="E44:L44"/>
    <mergeCell ref="E45:L45"/>
    <mergeCell ref="E46:L46"/>
    <mergeCell ref="E47:L47"/>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L28:AL28"/>
    <mergeCell ref="C29:K29"/>
    <mergeCell ref="L29:P29"/>
    <mergeCell ref="Z29:AD29"/>
    <mergeCell ref="AJ29:AL29"/>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U17:Y17"/>
    <mergeCell ref="AE17:AK17"/>
    <mergeCell ref="C18:K18"/>
    <mergeCell ref="L18:P18"/>
    <mergeCell ref="Z18:AD18"/>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s>
  <phoneticPr fontId="3"/>
  <pageMargins left="0.39370078740157483" right="0" top="0.59055118110236227" bottom="0" header="0.51181102362204722" footer="0.51181102362204722"/>
  <pageSetup paperSize="9" scale="8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0C997-3F31-418D-AD62-D3920DDDD151}">
  <sheetPr>
    <tabColor rgb="FFFF0000"/>
    <pageSetUpPr fitToPage="1"/>
  </sheetPr>
  <dimension ref="B1:AZ63"/>
  <sheetViews>
    <sheetView view="pageBreakPreview" zoomScale="75" zoomScaleNormal="85" zoomScaleSheetLayoutView="75" workbookViewId="0">
      <pane xSplit="3" ySplit="18" topLeftCell="D19" activePane="bottomRight" state="frozen"/>
      <selection activeCell="J23" sqref="J23:L23"/>
      <selection pane="topRight" activeCell="J23" sqref="J23:L23"/>
      <selection pane="bottomLeft" activeCell="J23" sqref="J23:L23"/>
      <selection pane="bottomRight"/>
    </sheetView>
  </sheetViews>
  <sheetFormatPr defaultColWidth="9" defaultRowHeight="12"/>
  <cols>
    <col min="1" max="1" width="1" style="85" customWidth="1"/>
    <col min="2" max="2" width="8.21875" style="85" customWidth="1"/>
    <col min="3" max="3" width="29" style="87" customWidth="1"/>
    <col min="4" max="21" width="5.6640625" style="85" customWidth="1"/>
    <col min="22" max="22" width="100.6640625" style="85" customWidth="1"/>
    <col min="23" max="23" width="1.109375" style="85" customWidth="1"/>
    <col min="24" max="52" width="3.109375" style="85" customWidth="1"/>
    <col min="53" max="16384" width="9" style="85"/>
  </cols>
  <sheetData>
    <row r="1" spans="2:52" ht="16.2">
      <c r="B1" s="97" t="s">
        <v>1494</v>
      </c>
    </row>
    <row r="3" spans="2:52" s="86" customFormat="1" ht="13.5" customHeight="1">
      <c r="B3" s="99"/>
      <c r="C3" s="100" t="s">
        <v>192</v>
      </c>
      <c r="D3" s="827" t="s">
        <v>1493</v>
      </c>
      <c r="E3" s="814">
        <v>2</v>
      </c>
      <c r="F3" s="813">
        <v>5</v>
      </c>
      <c r="G3" s="815">
        <v>7</v>
      </c>
      <c r="H3" s="816" t="s">
        <v>1054</v>
      </c>
      <c r="I3" s="817" t="s">
        <v>1028</v>
      </c>
      <c r="J3" s="813" t="s">
        <v>1016</v>
      </c>
      <c r="K3" s="813" t="s">
        <v>858</v>
      </c>
      <c r="L3" s="813">
        <v>27</v>
      </c>
      <c r="M3" s="815">
        <v>28</v>
      </c>
      <c r="N3" s="813">
        <v>34</v>
      </c>
      <c r="O3" s="813">
        <v>35</v>
      </c>
      <c r="P3" s="813">
        <v>37</v>
      </c>
      <c r="Q3" s="813" t="s">
        <v>852</v>
      </c>
      <c r="R3" s="813">
        <v>38</v>
      </c>
      <c r="S3" s="813">
        <v>39</v>
      </c>
      <c r="T3" s="813">
        <v>40</v>
      </c>
      <c r="U3" s="817">
        <v>41</v>
      </c>
      <c r="V3" s="105" t="s">
        <v>233</v>
      </c>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row>
    <row r="4" spans="2:52" ht="12" customHeight="1">
      <c r="B4" s="101"/>
      <c r="C4" s="102"/>
      <c r="D4" s="882" t="s">
        <v>197</v>
      </c>
      <c r="E4" s="882" t="s">
        <v>436</v>
      </c>
      <c r="F4" s="879" t="s">
        <v>1046</v>
      </c>
      <c r="G4" s="885" t="s">
        <v>203</v>
      </c>
      <c r="H4" s="879" t="s">
        <v>515</v>
      </c>
      <c r="I4" s="885" t="s">
        <v>653</v>
      </c>
      <c r="J4" s="885" t="s">
        <v>589</v>
      </c>
      <c r="K4" s="882" t="s">
        <v>618</v>
      </c>
      <c r="L4" s="882" t="s">
        <v>624</v>
      </c>
      <c r="M4" s="885" t="s">
        <v>1000</v>
      </c>
      <c r="N4" s="882" t="s">
        <v>619</v>
      </c>
      <c r="O4" s="885" t="s">
        <v>951</v>
      </c>
      <c r="P4" s="885" t="s">
        <v>621</v>
      </c>
      <c r="Q4" s="895" t="s">
        <v>622</v>
      </c>
      <c r="R4" s="882" t="s">
        <v>620</v>
      </c>
      <c r="S4" s="882" t="s">
        <v>623</v>
      </c>
      <c r="T4" s="885" t="s">
        <v>908</v>
      </c>
      <c r="U4" s="892" t="s">
        <v>190</v>
      </c>
      <c r="V4" s="889" t="s">
        <v>1480</v>
      </c>
      <c r="W4" s="91"/>
      <c r="X4" s="91"/>
      <c r="Y4" s="91"/>
      <c r="Z4" s="91"/>
      <c r="AA4" s="94"/>
      <c r="AB4" s="91"/>
      <c r="AC4" s="91"/>
      <c r="AD4" s="91"/>
      <c r="AE4" s="91"/>
      <c r="AF4" s="92"/>
      <c r="AG4" s="91"/>
      <c r="AH4" s="91"/>
      <c r="AI4" s="91" t="s">
        <v>174</v>
      </c>
      <c r="AJ4" s="91"/>
      <c r="AK4" s="91" t="s">
        <v>174</v>
      </c>
      <c r="AL4" s="94"/>
      <c r="AM4" s="94"/>
      <c r="AN4" s="91"/>
      <c r="AO4" s="91"/>
      <c r="AU4" s="91"/>
      <c r="AZ4" s="898"/>
    </row>
    <row r="5" spans="2:52" ht="12" customHeight="1">
      <c r="B5" s="101"/>
      <c r="C5" s="102"/>
      <c r="D5" s="883"/>
      <c r="E5" s="883"/>
      <c r="F5" s="880"/>
      <c r="G5" s="886"/>
      <c r="H5" s="880"/>
      <c r="I5" s="886"/>
      <c r="J5" s="886"/>
      <c r="K5" s="883"/>
      <c r="L5" s="883"/>
      <c r="M5" s="886"/>
      <c r="N5" s="883"/>
      <c r="O5" s="886"/>
      <c r="P5" s="886"/>
      <c r="Q5" s="896"/>
      <c r="R5" s="883"/>
      <c r="S5" s="883"/>
      <c r="T5" s="886"/>
      <c r="U5" s="893"/>
      <c r="V5" s="890"/>
      <c r="W5" s="91"/>
      <c r="X5" s="91"/>
      <c r="Y5" s="91"/>
      <c r="Z5" s="91"/>
      <c r="AA5" s="91"/>
      <c r="AB5" s="91"/>
      <c r="AC5" s="91"/>
      <c r="AD5" s="91"/>
      <c r="AE5" s="91"/>
      <c r="AF5" s="92"/>
      <c r="AG5" s="91"/>
      <c r="AH5" s="91"/>
      <c r="AI5" s="91"/>
      <c r="AJ5" s="91"/>
      <c r="AK5" s="91"/>
      <c r="AL5" s="91"/>
      <c r="AM5" s="91"/>
      <c r="AN5" s="91"/>
      <c r="AO5" s="91"/>
      <c r="AR5" s="91"/>
      <c r="AS5" s="92"/>
      <c r="AT5" s="91"/>
      <c r="AU5" s="91"/>
      <c r="AV5" s="91"/>
      <c r="AW5" s="91"/>
      <c r="AX5" s="91"/>
      <c r="AY5" s="91"/>
      <c r="AZ5" s="898"/>
    </row>
    <row r="6" spans="2:52" ht="12" customHeight="1">
      <c r="B6" s="101"/>
      <c r="C6" s="102"/>
      <c r="D6" s="883"/>
      <c r="E6" s="883"/>
      <c r="F6" s="880"/>
      <c r="G6" s="886"/>
      <c r="H6" s="880"/>
      <c r="I6" s="886"/>
      <c r="J6" s="886"/>
      <c r="K6" s="883"/>
      <c r="L6" s="883"/>
      <c r="M6" s="886"/>
      <c r="N6" s="883"/>
      <c r="O6" s="886"/>
      <c r="P6" s="886"/>
      <c r="Q6" s="896"/>
      <c r="R6" s="883"/>
      <c r="S6" s="883"/>
      <c r="T6" s="886"/>
      <c r="U6" s="893"/>
      <c r="V6" s="890"/>
      <c r="W6" s="91"/>
      <c r="X6" s="91"/>
      <c r="Y6" s="91"/>
      <c r="Z6" s="91"/>
      <c r="AA6" s="91"/>
      <c r="AB6" s="91"/>
      <c r="AC6" s="91"/>
      <c r="AD6" s="91"/>
      <c r="AE6" s="91"/>
      <c r="AF6" s="92"/>
      <c r="AG6" s="91"/>
      <c r="AH6" s="91"/>
      <c r="AI6" s="91"/>
      <c r="AJ6" s="91"/>
      <c r="AK6" s="91"/>
      <c r="AL6" s="91"/>
      <c r="AM6" s="91"/>
      <c r="AN6" s="91"/>
      <c r="AO6" s="91"/>
      <c r="AR6" s="91"/>
      <c r="AS6" s="92"/>
      <c r="AT6" s="91"/>
      <c r="AU6" s="91"/>
      <c r="AV6" s="91"/>
      <c r="AW6" s="91"/>
      <c r="AX6" s="91"/>
      <c r="AY6" s="91"/>
      <c r="AZ6" s="898"/>
    </row>
    <row r="7" spans="2:52" ht="12" customHeight="1">
      <c r="B7" s="101"/>
      <c r="C7" s="102"/>
      <c r="D7" s="883"/>
      <c r="E7" s="883"/>
      <c r="F7" s="880"/>
      <c r="G7" s="886"/>
      <c r="H7" s="880"/>
      <c r="I7" s="886"/>
      <c r="J7" s="886"/>
      <c r="K7" s="883"/>
      <c r="L7" s="883"/>
      <c r="M7" s="886"/>
      <c r="N7" s="883"/>
      <c r="O7" s="886"/>
      <c r="P7" s="886"/>
      <c r="Q7" s="896"/>
      <c r="R7" s="883"/>
      <c r="S7" s="883"/>
      <c r="T7" s="886"/>
      <c r="U7" s="893"/>
      <c r="V7" s="890"/>
      <c r="W7" s="91"/>
      <c r="X7" s="91"/>
      <c r="Y7" s="91"/>
      <c r="Z7" s="91"/>
      <c r="AA7" s="91"/>
      <c r="AB7" s="91"/>
      <c r="AC7" s="91"/>
      <c r="AD7" s="91"/>
      <c r="AE7" s="91"/>
      <c r="AF7" s="92"/>
      <c r="AG7" s="91"/>
      <c r="AH7" s="91"/>
      <c r="AI7" s="91"/>
      <c r="AJ7" s="91"/>
      <c r="AK7" s="91"/>
      <c r="AL7" s="91"/>
      <c r="AM7" s="91"/>
      <c r="AN7" s="91"/>
      <c r="AO7" s="91"/>
      <c r="AR7" s="91"/>
      <c r="AS7" s="92"/>
      <c r="AT7" s="91"/>
      <c r="AU7" s="91"/>
      <c r="AV7" s="91"/>
      <c r="AW7" s="91"/>
      <c r="AX7" s="91"/>
      <c r="AY7" s="91"/>
      <c r="AZ7" s="898"/>
    </row>
    <row r="8" spans="2:52" ht="12" customHeight="1">
      <c r="B8" s="101"/>
      <c r="C8" s="102"/>
      <c r="D8" s="883"/>
      <c r="E8" s="883"/>
      <c r="F8" s="880"/>
      <c r="G8" s="886"/>
      <c r="H8" s="880"/>
      <c r="I8" s="886"/>
      <c r="J8" s="886"/>
      <c r="K8" s="883"/>
      <c r="L8" s="883"/>
      <c r="M8" s="886"/>
      <c r="N8" s="883"/>
      <c r="O8" s="886"/>
      <c r="P8" s="886"/>
      <c r="Q8" s="896"/>
      <c r="R8" s="883"/>
      <c r="S8" s="883"/>
      <c r="T8" s="886"/>
      <c r="U8" s="893"/>
      <c r="V8" s="890"/>
      <c r="W8" s="91"/>
      <c r="X8" s="91"/>
      <c r="Y8" s="91"/>
      <c r="Z8" s="91"/>
      <c r="AA8" s="91"/>
      <c r="AB8" s="91"/>
      <c r="AC8" s="91"/>
      <c r="AD8" s="91"/>
      <c r="AE8" s="91"/>
      <c r="AF8" s="92"/>
      <c r="AG8" s="91"/>
      <c r="AH8" s="91"/>
      <c r="AI8" s="91"/>
      <c r="AJ8" s="91"/>
      <c r="AK8" s="91"/>
      <c r="AL8" s="91"/>
      <c r="AM8" s="91"/>
      <c r="AN8" s="91"/>
      <c r="AO8" s="91"/>
      <c r="AR8" s="91"/>
      <c r="AS8" s="92"/>
      <c r="AT8" s="91"/>
      <c r="AU8" s="91"/>
      <c r="AV8" s="91"/>
      <c r="AW8" s="91"/>
      <c r="AX8" s="91"/>
      <c r="AY8" s="91"/>
      <c r="AZ8" s="898"/>
    </row>
    <row r="9" spans="2:52" ht="12" customHeight="1">
      <c r="B9" s="101"/>
      <c r="C9" s="102"/>
      <c r="D9" s="883"/>
      <c r="E9" s="883"/>
      <c r="F9" s="880"/>
      <c r="G9" s="886"/>
      <c r="H9" s="880"/>
      <c r="I9" s="886"/>
      <c r="J9" s="886"/>
      <c r="K9" s="883"/>
      <c r="L9" s="883"/>
      <c r="M9" s="886"/>
      <c r="N9" s="883"/>
      <c r="O9" s="886"/>
      <c r="P9" s="886"/>
      <c r="Q9" s="896"/>
      <c r="R9" s="883"/>
      <c r="S9" s="883"/>
      <c r="T9" s="886"/>
      <c r="U9" s="893"/>
      <c r="V9" s="890"/>
      <c r="W9" s="91"/>
      <c r="X9" s="91"/>
      <c r="Y9" s="91"/>
      <c r="Z9" s="91"/>
      <c r="AA9" s="91"/>
      <c r="AB9" s="91"/>
      <c r="AC9" s="91"/>
      <c r="AD9" s="91"/>
      <c r="AE9" s="91"/>
      <c r="AF9" s="92"/>
      <c r="AG9" s="91"/>
      <c r="AH9" s="91"/>
      <c r="AI9" s="91"/>
      <c r="AJ9" s="91"/>
      <c r="AK9" s="91"/>
      <c r="AL9" s="91"/>
      <c r="AM9" s="91"/>
      <c r="AN9" s="91"/>
      <c r="AO9" s="91"/>
      <c r="AR9" s="91"/>
      <c r="AS9" s="92"/>
      <c r="AT9" s="91"/>
      <c r="AU9" s="91"/>
      <c r="AV9" s="91"/>
      <c r="AW9" s="91"/>
      <c r="AX9" s="91"/>
      <c r="AY9" s="91"/>
      <c r="AZ9" s="898"/>
    </row>
    <row r="10" spans="2:52" ht="12" customHeight="1">
      <c r="B10" s="101"/>
      <c r="C10" s="102"/>
      <c r="D10" s="883"/>
      <c r="E10" s="883"/>
      <c r="F10" s="880"/>
      <c r="G10" s="886"/>
      <c r="H10" s="880"/>
      <c r="I10" s="886"/>
      <c r="J10" s="886"/>
      <c r="K10" s="883"/>
      <c r="L10" s="883"/>
      <c r="M10" s="886"/>
      <c r="N10" s="883"/>
      <c r="O10" s="886"/>
      <c r="P10" s="886"/>
      <c r="Q10" s="896"/>
      <c r="R10" s="883"/>
      <c r="S10" s="883"/>
      <c r="T10" s="886"/>
      <c r="U10" s="893"/>
      <c r="V10" s="890"/>
      <c r="W10" s="91"/>
      <c r="X10" s="91"/>
      <c r="Y10" s="91"/>
      <c r="Z10" s="91"/>
      <c r="AA10" s="91"/>
      <c r="AB10" s="91"/>
      <c r="AC10" s="91"/>
      <c r="AD10" s="91"/>
      <c r="AE10" s="91"/>
      <c r="AF10" s="92"/>
      <c r="AG10" s="91"/>
      <c r="AH10" s="91"/>
      <c r="AI10" s="91"/>
      <c r="AJ10" s="91"/>
      <c r="AK10" s="91"/>
      <c r="AL10" s="91"/>
      <c r="AM10" s="91"/>
      <c r="AN10" s="91"/>
      <c r="AO10" s="91"/>
      <c r="AR10" s="91"/>
      <c r="AS10" s="92"/>
      <c r="AT10" s="91"/>
      <c r="AU10" s="91"/>
      <c r="AV10" s="91"/>
      <c r="AW10" s="91"/>
      <c r="AX10" s="91"/>
      <c r="AY10" s="91"/>
      <c r="AZ10" s="898"/>
    </row>
    <row r="11" spans="2:52" ht="12" customHeight="1">
      <c r="B11" s="101"/>
      <c r="C11" s="102"/>
      <c r="D11" s="883"/>
      <c r="E11" s="883"/>
      <c r="F11" s="880"/>
      <c r="G11" s="886"/>
      <c r="H11" s="880"/>
      <c r="I11" s="886"/>
      <c r="J11" s="886"/>
      <c r="K11" s="883"/>
      <c r="L11" s="883"/>
      <c r="M11" s="886"/>
      <c r="N11" s="883"/>
      <c r="O11" s="886"/>
      <c r="P11" s="886"/>
      <c r="Q11" s="896"/>
      <c r="R11" s="883"/>
      <c r="S11" s="883"/>
      <c r="T11" s="886"/>
      <c r="U11" s="893"/>
      <c r="V11" s="890"/>
      <c r="W11" s="91"/>
      <c r="X11" s="91"/>
      <c r="Y11" s="91"/>
      <c r="Z11" s="91"/>
      <c r="AA11" s="91"/>
      <c r="AB11" s="91"/>
      <c r="AC11" s="91"/>
      <c r="AD11" s="91"/>
      <c r="AE11" s="91"/>
      <c r="AF11" s="92"/>
      <c r="AG11" s="91"/>
      <c r="AH11" s="91"/>
      <c r="AI11" s="91"/>
      <c r="AJ11" s="91"/>
      <c r="AK11" s="91"/>
      <c r="AL11" s="91"/>
      <c r="AM11" s="91"/>
      <c r="AN11" s="91"/>
      <c r="AO11" s="91"/>
      <c r="AR11" s="91"/>
      <c r="AS11" s="92"/>
      <c r="AT11" s="91"/>
      <c r="AU11" s="91"/>
      <c r="AV11" s="91"/>
      <c r="AW11" s="91"/>
      <c r="AX11" s="91"/>
      <c r="AY11" s="91"/>
      <c r="AZ11" s="898"/>
    </row>
    <row r="12" spans="2:52" ht="12" customHeight="1">
      <c r="B12" s="101"/>
      <c r="C12" s="102"/>
      <c r="D12" s="883"/>
      <c r="E12" s="883"/>
      <c r="F12" s="880"/>
      <c r="G12" s="886"/>
      <c r="H12" s="880"/>
      <c r="I12" s="886"/>
      <c r="J12" s="886"/>
      <c r="K12" s="883"/>
      <c r="L12" s="883"/>
      <c r="M12" s="886"/>
      <c r="N12" s="883"/>
      <c r="O12" s="886"/>
      <c r="P12" s="886"/>
      <c r="Q12" s="896"/>
      <c r="R12" s="883"/>
      <c r="S12" s="883"/>
      <c r="T12" s="886"/>
      <c r="U12" s="893"/>
      <c r="V12" s="890"/>
      <c r="W12" s="91"/>
      <c r="X12" s="91"/>
      <c r="Y12" s="91"/>
      <c r="Z12" s="91"/>
      <c r="AA12" s="91"/>
      <c r="AB12" s="91"/>
      <c r="AC12" s="91"/>
      <c r="AD12" s="91"/>
      <c r="AE12" s="91"/>
      <c r="AF12" s="92"/>
      <c r="AG12" s="91"/>
      <c r="AH12" s="91"/>
      <c r="AI12" s="91"/>
      <c r="AJ12" s="91"/>
      <c r="AK12" s="91"/>
      <c r="AL12" s="91"/>
      <c r="AM12" s="91"/>
      <c r="AN12" s="91"/>
      <c r="AO12" s="91"/>
      <c r="AR12" s="91"/>
      <c r="AS12" s="92"/>
      <c r="AT12" s="91"/>
      <c r="AU12" s="91"/>
      <c r="AV12" s="91"/>
      <c r="AW12" s="91"/>
      <c r="AX12" s="91"/>
      <c r="AY12" s="91"/>
      <c r="AZ12" s="898"/>
    </row>
    <row r="13" spans="2:52" ht="12" customHeight="1">
      <c r="B13" s="101"/>
      <c r="C13" s="102"/>
      <c r="D13" s="883"/>
      <c r="E13" s="883"/>
      <c r="F13" s="880"/>
      <c r="G13" s="886"/>
      <c r="H13" s="880"/>
      <c r="I13" s="886"/>
      <c r="J13" s="886"/>
      <c r="K13" s="883"/>
      <c r="L13" s="883"/>
      <c r="M13" s="886"/>
      <c r="N13" s="883"/>
      <c r="O13" s="886"/>
      <c r="P13" s="886"/>
      <c r="Q13" s="896"/>
      <c r="R13" s="883"/>
      <c r="S13" s="883"/>
      <c r="T13" s="886"/>
      <c r="U13" s="893"/>
      <c r="V13" s="890"/>
      <c r="W13" s="91"/>
      <c r="X13" s="91"/>
      <c r="Y13" s="91"/>
      <c r="Z13" s="91"/>
      <c r="AA13" s="91"/>
      <c r="AB13" s="91"/>
      <c r="AC13" s="91"/>
      <c r="AD13" s="91"/>
      <c r="AE13" s="91"/>
      <c r="AF13" s="92"/>
      <c r="AG13" s="91"/>
      <c r="AH13" s="91"/>
      <c r="AI13" s="91"/>
      <c r="AJ13" s="91"/>
      <c r="AK13" s="91"/>
      <c r="AL13" s="91"/>
      <c r="AM13" s="91"/>
      <c r="AN13" s="91"/>
      <c r="AO13" s="91"/>
      <c r="AR13" s="91"/>
      <c r="AS13" s="92"/>
      <c r="AT13" s="91"/>
      <c r="AU13" s="91"/>
      <c r="AV13" s="91"/>
      <c r="AW13" s="91"/>
      <c r="AX13" s="91"/>
      <c r="AY13" s="91"/>
      <c r="AZ13" s="898"/>
    </row>
    <row r="14" spans="2:52" ht="12" customHeight="1">
      <c r="B14" s="101"/>
      <c r="C14" s="102"/>
      <c r="D14" s="883"/>
      <c r="E14" s="883"/>
      <c r="F14" s="880"/>
      <c r="G14" s="886"/>
      <c r="H14" s="880"/>
      <c r="I14" s="886"/>
      <c r="J14" s="886"/>
      <c r="K14" s="883"/>
      <c r="L14" s="883"/>
      <c r="M14" s="886"/>
      <c r="N14" s="883"/>
      <c r="O14" s="886"/>
      <c r="P14" s="886"/>
      <c r="Q14" s="896"/>
      <c r="R14" s="883"/>
      <c r="S14" s="883"/>
      <c r="T14" s="886"/>
      <c r="U14" s="893"/>
      <c r="V14" s="890"/>
      <c r="W14" s="91"/>
      <c r="X14" s="91"/>
      <c r="Y14" s="91"/>
      <c r="Z14" s="91"/>
      <c r="AA14" s="91"/>
      <c r="AB14" s="91"/>
      <c r="AC14" s="91"/>
      <c r="AD14" s="91"/>
      <c r="AE14" s="91"/>
      <c r="AF14" s="92"/>
      <c r="AG14" s="91"/>
      <c r="AH14" s="91"/>
      <c r="AI14" s="91"/>
      <c r="AJ14" s="91"/>
      <c r="AK14" s="91"/>
      <c r="AL14" s="91"/>
      <c r="AM14" s="91"/>
      <c r="AN14" s="91"/>
      <c r="AO14" s="91"/>
      <c r="AR14" s="91"/>
      <c r="AS14" s="92"/>
      <c r="AT14" s="91"/>
      <c r="AU14" s="91"/>
      <c r="AV14" s="91"/>
      <c r="AW14" s="91"/>
      <c r="AX14" s="91"/>
      <c r="AY14" s="91"/>
      <c r="AZ14" s="898"/>
    </row>
    <row r="15" spans="2:52" ht="12" customHeight="1">
      <c r="B15" s="101"/>
      <c r="C15" s="102"/>
      <c r="D15" s="883"/>
      <c r="E15" s="883"/>
      <c r="F15" s="880"/>
      <c r="G15" s="886"/>
      <c r="H15" s="880"/>
      <c r="I15" s="886"/>
      <c r="J15" s="886"/>
      <c r="K15" s="883"/>
      <c r="L15" s="883"/>
      <c r="M15" s="886"/>
      <c r="N15" s="883"/>
      <c r="O15" s="886"/>
      <c r="P15" s="886"/>
      <c r="Q15" s="896"/>
      <c r="R15" s="883"/>
      <c r="S15" s="883"/>
      <c r="T15" s="886"/>
      <c r="U15" s="893"/>
      <c r="V15" s="890"/>
      <c r="W15" s="91"/>
      <c r="X15" s="91"/>
      <c r="Y15" s="91"/>
      <c r="Z15" s="91"/>
      <c r="AA15" s="91"/>
      <c r="AB15" s="91"/>
      <c r="AC15" s="91"/>
      <c r="AD15" s="91"/>
      <c r="AE15" s="91"/>
      <c r="AF15" s="92"/>
      <c r="AG15" s="91"/>
      <c r="AH15" s="91"/>
      <c r="AI15" s="91"/>
      <c r="AJ15" s="91"/>
      <c r="AK15" s="91"/>
      <c r="AL15" s="91"/>
      <c r="AM15" s="91"/>
      <c r="AN15" s="91"/>
      <c r="AO15" s="91"/>
      <c r="AR15" s="91"/>
      <c r="AS15" s="92"/>
      <c r="AT15" s="91"/>
      <c r="AU15" s="91"/>
      <c r="AV15" s="91"/>
      <c r="AW15" s="91"/>
      <c r="AX15" s="91"/>
      <c r="AY15" s="91"/>
      <c r="AZ15" s="898"/>
    </row>
    <row r="16" spans="2:52" ht="12" customHeight="1">
      <c r="B16" s="101"/>
      <c r="C16" s="102"/>
      <c r="D16" s="883"/>
      <c r="E16" s="883"/>
      <c r="F16" s="880"/>
      <c r="G16" s="886"/>
      <c r="H16" s="880"/>
      <c r="I16" s="886"/>
      <c r="J16" s="886"/>
      <c r="K16" s="883"/>
      <c r="L16" s="883"/>
      <c r="M16" s="886"/>
      <c r="N16" s="883"/>
      <c r="O16" s="886"/>
      <c r="P16" s="886"/>
      <c r="Q16" s="896"/>
      <c r="R16" s="883"/>
      <c r="S16" s="883"/>
      <c r="T16" s="886"/>
      <c r="U16" s="893"/>
      <c r="V16" s="890"/>
      <c r="W16" s="91"/>
      <c r="X16" s="91"/>
      <c r="Y16" s="91"/>
      <c r="Z16" s="91"/>
      <c r="AA16" s="91"/>
      <c r="AB16" s="91"/>
      <c r="AC16" s="91"/>
      <c r="AD16" s="91"/>
      <c r="AE16" s="91"/>
      <c r="AF16" s="92"/>
      <c r="AG16" s="91"/>
      <c r="AH16" s="91"/>
      <c r="AI16" s="91"/>
      <c r="AJ16" s="91"/>
      <c r="AK16" s="91"/>
      <c r="AL16" s="91"/>
      <c r="AM16" s="91"/>
      <c r="AN16" s="91"/>
      <c r="AO16" s="91"/>
      <c r="AR16" s="91"/>
      <c r="AS16" s="92"/>
      <c r="AT16" s="91"/>
      <c r="AU16" s="91"/>
      <c r="AV16" s="91"/>
      <c r="AW16" s="91"/>
      <c r="AX16" s="91"/>
      <c r="AY16" s="91"/>
      <c r="AZ16" s="898"/>
    </row>
    <row r="17" spans="2:52" ht="12" customHeight="1">
      <c r="B17" s="101"/>
      <c r="C17" s="102"/>
      <c r="D17" s="883"/>
      <c r="E17" s="883"/>
      <c r="F17" s="880"/>
      <c r="G17" s="886"/>
      <c r="H17" s="880"/>
      <c r="I17" s="886"/>
      <c r="J17" s="886"/>
      <c r="K17" s="883"/>
      <c r="L17" s="883"/>
      <c r="M17" s="886"/>
      <c r="N17" s="883"/>
      <c r="O17" s="886"/>
      <c r="P17" s="886"/>
      <c r="Q17" s="896"/>
      <c r="R17" s="883"/>
      <c r="S17" s="883"/>
      <c r="T17" s="886"/>
      <c r="U17" s="893"/>
      <c r="V17" s="890"/>
      <c r="W17" s="91"/>
      <c r="X17" s="91"/>
      <c r="Y17" s="91"/>
      <c r="Z17" s="91"/>
      <c r="AA17" s="91"/>
      <c r="AB17" s="91"/>
      <c r="AC17" s="91"/>
      <c r="AD17" s="91"/>
      <c r="AE17" s="91"/>
      <c r="AF17" s="92"/>
      <c r="AG17" s="91"/>
      <c r="AH17" s="91"/>
      <c r="AI17" s="91"/>
      <c r="AJ17" s="91"/>
      <c r="AK17" s="91"/>
      <c r="AL17" s="91"/>
      <c r="AM17" s="91"/>
      <c r="AN17" s="91"/>
      <c r="AO17" s="91"/>
      <c r="AP17" s="91"/>
      <c r="AQ17" s="91"/>
      <c r="AR17" s="91"/>
      <c r="AS17" s="92"/>
      <c r="AT17" s="91"/>
      <c r="AU17" s="91"/>
      <c r="AV17" s="91"/>
      <c r="AW17" s="91"/>
      <c r="AX17" s="91"/>
      <c r="AY17" s="91"/>
      <c r="AZ17" s="898"/>
    </row>
    <row r="18" spans="2:52" ht="12" customHeight="1">
      <c r="B18" s="103" t="s">
        <v>193</v>
      </c>
      <c r="C18" s="104" t="s">
        <v>191</v>
      </c>
      <c r="D18" s="884"/>
      <c r="E18" s="884"/>
      <c r="F18" s="881"/>
      <c r="G18" s="887"/>
      <c r="H18" s="881"/>
      <c r="I18" s="887"/>
      <c r="J18" s="887"/>
      <c r="K18" s="884"/>
      <c r="L18" s="884"/>
      <c r="M18" s="887"/>
      <c r="N18" s="884"/>
      <c r="O18" s="887"/>
      <c r="P18" s="887"/>
      <c r="Q18" s="897"/>
      <c r="R18" s="884"/>
      <c r="S18" s="884"/>
      <c r="T18" s="887"/>
      <c r="U18" s="894"/>
      <c r="V18" s="891"/>
      <c r="W18" s="91"/>
      <c r="X18" s="91"/>
      <c r="Y18" s="91"/>
      <c r="Z18" s="91"/>
      <c r="AA18" s="91"/>
      <c r="AB18" s="91"/>
      <c r="AC18" s="91"/>
      <c r="AD18" s="91"/>
      <c r="AE18" s="91"/>
      <c r="AF18" s="92"/>
      <c r="AG18" s="91"/>
      <c r="AH18" s="91"/>
      <c r="AI18" s="91"/>
      <c r="AJ18" s="91"/>
      <c r="AK18" s="91"/>
      <c r="AL18" s="91"/>
      <c r="AM18" s="91"/>
      <c r="AN18" s="91"/>
      <c r="AO18" s="91"/>
      <c r="AP18" s="91"/>
      <c r="AQ18" s="91"/>
      <c r="AR18" s="91"/>
      <c r="AS18" s="92"/>
      <c r="AT18" s="91"/>
      <c r="AU18" s="91"/>
      <c r="AV18" s="91"/>
      <c r="AW18" s="91"/>
      <c r="AX18" s="91"/>
      <c r="AY18" s="91"/>
      <c r="AZ18" s="898"/>
    </row>
    <row r="19" spans="2:52">
      <c r="AD19" s="91"/>
      <c r="AE19" s="91"/>
      <c r="AF19" s="92"/>
      <c r="AG19" s="91"/>
      <c r="AH19" s="91"/>
      <c r="AI19" s="91"/>
      <c r="AJ19" s="91"/>
      <c r="AK19" s="91"/>
    </row>
    <row r="20" spans="2:52" s="88" customFormat="1" ht="16.2">
      <c r="B20" s="98" t="s">
        <v>237</v>
      </c>
      <c r="C20" s="98"/>
      <c r="D20" s="95"/>
      <c r="E20" s="306"/>
      <c r="F20" s="95"/>
      <c r="G20" s="95"/>
      <c r="H20" s="95"/>
      <c r="I20" s="306"/>
      <c r="J20" s="306"/>
      <c r="K20" s="95"/>
      <c r="L20" s="306"/>
      <c r="M20" s="95"/>
      <c r="N20" s="95"/>
      <c r="O20" s="306"/>
      <c r="P20" s="306"/>
      <c r="Q20" s="306"/>
      <c r="R20" s="306"/>
      <c r="S20" s="306"/>
      <c r="T20" s="306"/>
      <c r="U20" s="306"/>
      <c r="V20" s="307" t="s">
        <v>458</v>
      </c>
      <c r="AD20" s="89"/>
      <c r="AE20" s="89"/>
      <c r="AF20" s="89"/>
      <c r="AG20" s="89"/>
      <c r="AH20" s="89"/>
      <c r="AI20" s="89"/>
      <c r="AJ20" s="89"/>
      <c r="AK20" s="89"/>
      <c r="AL20" s="90"/>
      <c r="AM20" s="90"/>
      <c r="AN20" s="90"/>
      <c r="AO20" s="90"/>
      <c r="AP20" s="90"/>
      <c r="AQ20" s="90"/>
      <c r="AR20" s="90"/>
      <c r="AS20" s="90"/>
      <c r="AT20" s="90"/>
      <c r="AU20" s="90"/>
      <c r="AV20" s="90"/>
      <c r="AW20" s="90"/>
      <c r="AX20" s="90"/>
      <c r="AY20" s="90"/>
      <c r="AZ20" s="90"/>
    </row>
    <row r="21" spans="2:52" ht="30" customHeight="1">
      <c r="B21" s="301" t="s">
        <v>205</v>
      </c>
      <c r="C21" s="205" t="s">
        <v>177</v>
      </c>
      <c r="D21" s="203" t="s">
        <v>202</v>
      </c>
      <c r="E21" s="302" t="s">
        <v>204</v>
      </c>
      <c r="F21" s="203"/>
      <c r="G21" s="203" t="s">
        <v>232</v>
      </c>
      <c r="H21" s="203" t="s">
        <v>639</v>
      </c>
      <c r="I21" s="303"/>
      <c r="J21" s="302"/>
      <c r="K21" s="203"/>
      <c r="L21" s="302"/>
      <c r="M21" s="203"/>
      <c r="N21" s="203"/>
      <c r="O21" s="302"/>
      <c r="P21" s="302"/>
      <c r="Q21" s="302"/>
      <c r="R21" s="302"/>
      <c r="S21" s="302"/>
      <c r="T21" s="302"/>
      <c r="U21" s="303"/>
      <c r="V21" s="304" t="s">
        <v>1111</v>
      </c>
      <c r="AF21" s="89"/>
      <c r="AG21" s="89"/>
      <c r="AH21" s="89"/>
      <c r="AI21" s="89"/>
      <c r="AJ21" s="89"/>
      <c r="AK21" s="89"/>
      <c r="AL21" s="89"/>
      <c r="AM21" s="89"/>
      <c r="AN21" s="89"/>
      <c r="AO21" s="89"/>
      <c r="AP21" s="89"/>
      <c r="AQ21" s="89"/>
      <c r="AR21" s="89"/>
      <c r="AS21" s="89"/>
      <c r="AT21" s="89"/>
      <c r="AU21" s="89"/>
      <c r="AV21" s="89"/>
      <c r="AW21" s="89"/>
      <c r="AX21" s="89"/>
      <c r="AY21" s="89"/>
      <c r="AZ21" s="89"/>
    </row>
    <row r="22" spans="2:52" ht="30" customHeight="1">
      <c r="B22" s="204" t="s">
        <v>206</v>
      </c>
      <c r="C22" s="577" t="s">
        <v>98</v>
      </c>
      <c r="D22" s="799" t="s">
        <v>202</v>
      </c>
      <c r="E22" s="799" t="s">
        <v>204</v>
      </c>
      <c r="F22" s="799"/>
      <c r="G22" s="800" t="s">
        <v>231</v>
      </c>
      <c r="H22" s="799"/>
      <c r="I22" s="800"/>
      <c r="J22" s="799"/>
      <c r="K22" s="799"/>
      <c r="L22" s="799"/>
      <c r="M22" s="799"/>
      <c r="N22" s="799"/>
      <c r="O22" s="799"/>
      <c r="P22" s="799"/>
      <c r="Q22" s="799"/>
      <c r="R22" s="799"/>
      <c r="S22" s="799"/>
      <c r="T22" s="799"/>
      <c r="U22" s="800"/>
      <c r="V22" s="208" t="s">
        <v>645</v>
      </c>
      <c r="AF22" s="89"/>
      <c r="AG22" s="89"/>
      <c r="AH22" s="89"/>
      <c r="AI22" s="89"/>
      <c r="AJ22" s="89"/>
      <c r="AK22" s="89"/>
      <c r="AL22" s="89"/>
      <c r="AM22" s="89"/>
      <c r="AN22" s="89"/>
      <c r="AO22" s="89"/>
      <c r="AP22" s="89"/>
      <c r="AQ22" s="89"/>
      <c r="AR22" s="89"/>
      <c r="AS22" s="89"/>
      <c r="AT22" s="89"/>
      <c r="AU22" s="89"/>
      <c r="AV22" s="89"/>
      <c r="AW22" s="89"/>
      <c r="AX22" s="89"/>
      <c r="AY22" s="888"/>
      <c r="AZ22" s="888"/>
    </row>
    <row r="23" spans="2:52" ht="30" customHeight="1">
      <c r="B23" s="204" t="s">
        <v>207</v>
      </c>
      <c r="C23" s="577" t="s">
        <v>99</v>
      </c>
      <c r="D23" s="799" t="s">
        <v>202</v>
      </c>
      <c r="E23" s="799" t="s">
        <v>204</v>
      </c>
      <c r="F23" s="799"/>
      <c r="G23" s="800"/>
      <c r="H23" s="799"/>
      <c r="I23" s="800"/>
      <c r="J23" s="799"/>
      <c r="K23" s="799"/>
      <c r="L23" s="799"/>
      <c r="M23" s="799"/>
      <c r="N23" s="799"/>
      <c r="O23" s="799"/>
      <c r="P23" s="799"/>
      <c r="Q23" s="799"/>
      <c r="R23" s="799"/>
      <c r="S23" s="799"/>
      <c r="T23" s="799"/>
      <c r="U23" s="800"/>
      <c r="V23" s="208"/>
      <c r="AF23" s="89"/>
      <c r="AG23" s="89"/>
      <c r="AH23" s="89"/>
      <c r="AI23" s="89"/>
      <c r="AJ23" s="89"/>
      <c r="AK23" s="89"/>
      <c r="AL23" s="89"/>
      <c r="AM23" s="89"/>
      <c r="AN23" s="89"/>
      <c r="AO23" s="89"/>
      <c r="AP23" s="89"/>
      <c r="AQ23" s="89"/>
      <c r="AR23" s="89"/>
      <c r="AS23" s="89"/>
      <c r="AT23" s="89"/>
      <c r="AU23" s="89"/>
      <c r="AV23" s="89"/>
      <c r="AW23" s="89"/>
      <c r="AX23" s="89"/>
      <c r="AY23" s="888"/>
      <c r="AZ23" s="888"/>
    </row>
    <row r="24" spans="2:52" ht="30" customHeight="1">
      <c r="B24" s="204" t="s">
        <v>208</v>
      </c>
      <c r="C24" s="577" t="s">
        <v>183</v>
      </c>
      <c r="D24" s="799" t="s">
        <v>202</v>
      </c>
      <c r="E24" s="799" t="s">
        <v>202</v>
      </c>
      <c r="F24" s="799"/>
      <c r="G24" s="800"/>
      <c r="H24" s="799"/>
      <c r="I24" s="800"/>
      <c r="J24" s="799"/>
      <c r="K24" s="799"/>
      <c r="L24" s="799"/>
      <c r="M24" s="799"/>
      <c r="N24" s="799"/>
      <c r="O24" s="799"/>
      <c r="P24" s="799"/>
      <c r="Q24" s="799"/>
      <c r="R24" s="799"/>
      <c r="S24" s="799"/>
      <c r="T24" s="799"/>
      <c r="U24" s="800"/>
      <c r="V24" s="208"/>
      <c r="AF24" s="89"/>
      <c r="AG24" s="89"/>
      <c r="AH24" s="89"/>
      <c r="AI24" s="89"/>
      <c r="AJ24" s="89"/>
      <c r="AK24" s="89"/>
      <c r="AL24" s="89"/>
      <c r="AM24" s="89"/>
      <c r="AN24" s="89"/>
      <c r="AO24" s="89"/>
      <c r="AP24" s="888"/>
      <c r="AQ24" s="888"/>
      <c r="AR24" s="888"/>
      <c r="AS24" s="888"/>
      <c r="AT24" s="89"/>
      <c r="AU24" s="89"/>
      <c r="AV24" s="89"/>
      <c r="AW24" s="888"/>
      <c r="AX24" s="888"/>
      <c r="AY24" s="888"/>
      <c r="AZ24" s="888"/>
    </row>
    <row r="25" spans="2:52" ht="30" customHeight="1">
      <c r="B25" s="204" t="s">
        <v>209</v>
      </c>
      <c r="C25" s="577" t="s">
        <v>448</v>
      </c>
      <c r="D25" s="799" t="s">
        <v>202</v>
      </c>
      <c r="E25" s="799" t="s">
        <v>202</v>
      </c>
      <c r="F25" s="799"/>
      <c r="G25" s="800"/>
      <c r="H25" s="799"/>
      <c r="I25" s="800"/>
      <c r="J25" s="799"/>
      <c r="K25" s="799"/>
      <c r="L25" s="799"/>
      <c r="M25" s="799"/>
      <c r="N25" s="799"/>
      <c r="O25" s="799"/>
      <c r="P25" s="799"/>
      <c r="Q25" s="799"/>
      <c r="R25" s="799"/>
      <c r="S25" s="799"/>
      <c r="T25" s="799"/>
      <c r="U25" s="800"/>
      <c r="V25" s="208"/>
      <c r="AF25" s="89"/>
      <c r="AG25" s="89"/>
      <c r="AH25" s="89"/>
      <c r="AI25" s="89"/>
      <c r="AJ25" s="89"/>
      <c r="AK25" s="89"/>
      <c r="AL25" s="89"/>
      <c r="AM25" s="89"/>
      <c r="AN25" s="89"/>
      <c r="AO25" s="89"/>
      <c r="AP25" s="89"/>
      <c r="AQ25" s="89"/>
      <c r="AR25" s="89"/>
      <c r="AS25" s="89"/>
      <c r="AT25" s="89"/>
      <c r="AU25" s="89"/>
      <c r="AV25" s="89"/>
      <c r="AW25" s="89"/>
      <c r="AX25" s="89"/>
      <c r="AY25" s="89"/>
      <c r="AZ25" s="89"/>
    </row>
    <row r="26" spans="2:52" ht="30" customHeight="1">
      <c r="B26" s="204" t="s">
        <v>210</v>
      </c>
      <c r="C26" s="577" t="s">
        <v>827</v>
      </c>
      <c r="D26" s="799" t="s">
        <v>202</v>
      </c>
      <c r="E26" s="799" t="s">
        <v>202</v>
      </c>
      <c r="F26" s="799"/>
      <c r="G26" s="800"/>
      <c r="H26" s="799"/>
      <c r="I26" s="800"/>
      <c r="J26" s="799"/>
      <c r="K26" s="799"/>
      <c r="L26" s="799"/>
      <c r="M26" s="799"/>
      <c r="N26" s="799"/>
      <c r="O26" s="799"/>
      <c r="P26" s="799"/>
      <c r="Q26" s="799"/>
      <c r="R26" s="799"/>
      <c r="S26" s="799"/>
      <c r="T26" s="799"/>
      <c r="U26" s="800"/>
      <c r="V26" s="208"/>
      <c r="AF26" s="89"/>
      <c r="AG26" s="89"/>
      <c r="AH26" s="89"/>
      <c r="AI26" s="89"/>
      <c r="AJ26" s="89"/>
      <c r="AK26" s="89"/>
      <c r="AL26" s="89"/>
      <c r="AM26" s="89"/>
      <c r="AN26" s="89"/>
      <c r="AO26" s="89"/>
      <c r="AP26" s="89"/>
      <c r="AQ26" s="89"/>
      <c r="AR26" s="89"/>
      <c r="AS26" s="89"/>
      <c r="AT26" s="89"/>
      <c r="AU26" s="89"/>
      <c r="AV26" s="89"/>
      <c r="AW26" s="89"/>
      <c r="AX26" s="89"/>
      <c r="AY26" s="89"/>
      <c r="AZ26" s="89"/>
    </row>
    <row r="27" spans="2:52" ht="30" customHeight="1">
      <c r="B27" s="204" t="s">
        <v>211</v>
      </c>
      <c r="C27" s="577" t="s">
        <v>828</v>
      </c>
      <c r="D27" s="799" t="s">
        <v>202</v>
      </c>
      <c r="E27" s="799" t="s">
        <v>202</v>
      </c>
      <c r="F27" s="799"/>
      <c r="G27" s="800"/>
      <c r="H27" s="799"/>
      <c r="I27" s="800"/>
      <c r="J27" s="799"/>
      <c r="K27" s="799"/>
      <c r="L27" s="799"/>
      <c r="M27" s="799"/>
      <c r="N27" s="799"/>
      <c r="O27" s="799"/>
      <c r="P27" s="799"/>
      <c r="Q27" s="799"/>
      <c r="R27" s="799"/>
      <c r="S27" s="799"/>
      <c r="T27" s="799"/>
      <c r="U27" s="800"/>
      <c r="V27" s="208"/>
      <c r="AF27" s="89"/>
      <c r="AG27" s="89"/>
      <c r="AH27" s="89"/>
      <c r="AI27" s="89"/>
      <c r="AJ27" s="89"/>
      <c r="AK27" s="89"/>
      <c r="AL27" s="89"/>
      <c r="AM27" s="89"/>
      <c r="AN27" s="89"/>
      <c r="AO27" s="89"/>
      <c r="AP27" s="89"/>
      <c r="AQ27" s="89"/>
      <c r="AR27" s="89"/>
      <c r="AS27" s="89"/>
      <c r="AT27" s="89"/>
      <c r="AU27" s="89"/>
      <c r="AV27" s="89"/>
      <c r="AW27" s="89"/>
      <c r="AX27" s="89"/>
      <c r="AY27" s="89"/>
      <c r="AZ27" s="89"/>
    </row>
    <row r="28" spans="2:52" ht="30" customHeight="1">
      <c r="B28" s="204" t="s">
        <v>212</v>
      </c>
      <c r="C28" s="577" t="s">
        <v>459</v>
      </c>
      <c r="D28" s="799" t="s">
        <v>202</v>
      </c>
      <c r="E28" s="799" t="s">
        <v>202</v>
      </c>
      <c r="F28" s="799"/>
      <c r="G28" s="800"/>
      <c r="H28" s="799"/>
      <c r="I28" s="800"/>
      <c r="J28" s="799"/>
      <c r="K28" s="799"/>
      <c r="L28" s="799"/>
      <c r="M28" s="799"/>
      <c r="N28" s="799"/>
      <c r="O28" s="799"/>
      <c r="P28" s="799"/>
      <c r="Q28" s="799"/>
      <c r="R28" s="799"/>
      <c r="S28" s="799"/>
      <c r="T28" s="799"/>
      <c r="U28" s="800"/>
      <c r="V28" s="208"/>
      <c r="AF28" s="89"/>
      <c r="AG28" s="89"/>
      <c r="AH28" s="89"/>
      <c r="AI28" s="89"/>
      <c r="AJ28" s="89"/>
      <c r="AK28" s="89"/>
      <c r="AL28" s="89"/>
      <c r="AM28" s="89"/>
      <c r="AN28" s="89"/>
      <c r="AO28" s="89"/>
      <c r="AP28" s="89"/>
      <c r="AQ28" s="89"/>
      <c r="AR28" s="89"/>
      <c r="AS28" s="89"/>
      <c r="AT28" s="89"/>
      <c r="AU28" s="89"/>
      <c r="AV28" s="89"/>
      <c r="AW28" s="89"/>
      <c r="AX28" s="89"/>
      <c r="AY28" s="89"/>
      <c r="AZ28" s="89"/>
    </row>
    <row r="29" spans="2:52" ht="30" customHeight="1">
      <c r="B29" s="204" t="s">
        <v>213</v>
      </c>
      <c r="C29" s="577" t="s">
        <v>178</v>
      </c>
      <c r="D29" s="799" t="s">
        <v>202</v>
      </c>
      <c r="E29" s="799" t="s">
        <v>202</v>
      </c>
      <c r="F29" s="799"/>
      <c r="G29" s="800"/>
      <c r="H29" s="799"/>
      <c r="I29" s="800"/>
      <c r="J29" s="799"/>
      <c r="K29" s="799"/>
      <c r="L29" s="799"/>
      <c r="M29" s="799"/>
      <c r="N29" s="799"/>
      <c r="O29" s="799"/>
      <c r="P29" s="799" t="s">
        <v>204</v>
      </c>
      <c r="Q29" s="799"/>
      <c r="R29" s="799"/>
      <c r="S29" s="799"/>
      <c r="T29" s="799"/>
      <c r="U29" s="800"/>
      <c r="V29" s="208"/>
      <c r="AF29" s="89"/>
      <c r="AG29" s="89"/>
      <c r="AH29" s="89"/>
      <c r="AI29" s="89"/>
      <c r="AJ29" s="89"/>
      <c r="AK29" s="89"/>
      <c r="AL29" s="89"/>
      <c r="AM29" s="89"/>
      <c r="AN29" s="89"/>
      <c r="AO29" s="89"/>
      <c r="AP29" s="89"/>
      <c r="AQ29" s="89"/>
      <c r="AR29" s="89"/>
      <c r="AS29" s="89"/>
      <c r="AT29" s="89"/>
      <c r="AU29" s="89"/>
      <c r="AV29" s="89"/>
      <c r="AW29" s="89"/>
      <c r="AX29" s="89"/>
      <c r="AY29" s="888"/>
      <c r="AZ29" s="888"/>
    </row>
    <row r="30" spans="2:52" ht="30" customHeight="1">
      <c r="B30" s="204" t="s">
        <v>214</v>
      </c>
      <c r="C30" s="818" t="s">
        <v>449</v>
      </c>
      <c r="D30" s="799" t="s">
        <v>202</v>
      </c>
      <c r="E30" s="799" t="s">
        <v>202</v>
      </c>
      <c r="F30" s="799"/>
      <c r="G30" s="800"/>
      <c r="H30" s="799"/>
      <c r="I30" s="800"/>
      <c r="J30" s="799"/>
      <c r="K30" s="799"/>
      <c r="L30" s="799"/>
      <c r="M30" s="799"/>
      <c r="N30" s="799"/>
      <c r="O30" s="799"/>
      <c r="P30" s="799"/>
      <c r="Q30" s="799" t="s">
        <v>204</v>
      </c>
      <c r="R30" s="799"/>
      <c r="S30" s="799"/>
      <c r="T30" s="799"/>
      <c r="U30" s="800"/>
      <c r="V30" s="208"/>
      <c r="AF30" s="89"/>
      <c r="AG30" s="89"/>
      <c r="AH30" s="89"/>
      <c r="AI30" s="89"/>
      <c r="AJ30" s="89"/>
      <c r="AK30" s="89"/>
      <c r="AL30" s="89"/>
      <c r="AM30" s="89"/>
      <c r="AN30" s="89"/>
      <c r="AO30" s="89"/>
      <c r="AP30" s="89"/>
      <c r="AQ30" s="89"/>
      <c r="AR30" s="89"/>
      <c r="AS30" s="89"/>
      <c r="AT30" s="89"/>
      <c r="AU30" s="89"/>
      <c r="AV30" s="89"/>
      <c r="AW30" s="89"/>
      <c r="AX30" s="89"/>
      <c r="AY30" s="89"/>
      <c r="AZ30" s="89"/>
    </row>
    <row r="31" spans="2:52" ht="30" customHeight="1">
      <c r="B31" s="204" t="s">
        <v>215</v>
      </c>
      <c r="C31" s="577" t="s">
        <v>179</v>
      </c>
      <c r="D31" s="799" t="s">
        <v>202</v>
      </c>
      <c r="E31" s="799" t="s">
        <v>202</v>
      </c>
      <c r="F31" s="799"/>
      <c r="G31" s="800" t="s">
        <v>232</v>
      </c>
      <c r="H31" s="799"/>
      <c r="I31" s="800"/>
      <c r="J31" s="799"/>
      <c r="K31" s="799" t="s">
        <v>202</v>
      </c>
      <c r="L31" s="799"/>
      <c r="M31" s="799"/>
      <c r="N31" s="799"/>
      <c r="O31" s="799"/>
      <c r="P31" s="799"/>
      <c r="Q31" s="799"/>
      <c r="R31" s="799"/>
      <c r="S31" s="799"/>
      <c r="T31" s="799"/>
      <c r="U31" s="800"/>
      <c r="V31" s="208" t="s">
        <v>1113</v>
      </c>
      <c r="AF31" s="89"/>
      <c r="AG31" s="89"/>
      <c r="AH31" s="89"/>
      <c r="AI31" s="89"/>
      <c r="AJ31" s="89"/>
      <c r="AK31" s="89"/>
      <c r="AL31" s="89"/>
      <c r="AM31" s="89"/>
      <c r="AN31" s="89"/>
      <c r="AO31" s="89"/>
      <c r="AP31" s="89"/>
      <c r="AQ31" s="89"/>
      <c r="AR31" s="89"/>
      <c r="AS31" s="89"/>
      <c r="AT31" s="89"/>
      <c r="AU31" s="89"/>
      <c r="AV31" s="89"/>
      <c r="AW31" s="89"/>
      <c r="AX31" s="89"/>
      <c r="AY31" s="888"/>
      <c r="AZ31" s="888"/>
    </row>
    <row r="32" spans="2:52" ht="30" customHeight="1">
      <c r="B32" s="204" t="s">
        <v>216</v>
      </c>
      <c r="C32" s="577" t="s">
        <v>180</v>
      </c>
      <c r="D32" s="799" t="s">
        <v>202</v>
      </c>
      <c r="E32" s="799" t="s">
        <v>202</v>
      </c>
      <c r="F32" s="799"/>
      <c r="G32" s="800" t="s">
        <v>232</v>
      </c>
      <c r="H32" s="799"/>
      <c r="I32" s="800"/>
      <c r="J32" s="799"/>
      <c r="K32" s="799" t="s">
        <v>202</v>
      </c>
      <c r="L32" s="799"/>
      <c r="M32" s="799"/>
      <c r="N32" s="799"/>
      <c r="O32" s="799"/>
      <c r="P32" s="799"/>
      <c r="Q32" s="799"/>
      <c r="R32" s="799"/>
      <c r="S32" s="799"/>
      <c r="T32" s="799"/>
      <c r="U32" s="800"/>
      <c r="V32" s="208" t="s">
        <v>1113</v>
      </c>
      <c r="AF32" s="89"/>
      <c r="AG32" s="89"/>
      <c r="AH32" s="89"/>
      <c r="AI32" s="89"/>
      <c r="AJ32" s="89"/>
      <c r="AK32" s="89"/>
      <c r="AL32" s="89"/>
      <c r="AM32" s="89"/>
      <c r="AN32" s="89"/>
      <c r="AO32" s="89"/>
      <c r="AP32" s="89"/>
      <c r="AQ32" s="89"/>
      <c r="AR32" s="89"/>
      <c r="AS32" s="89"/>
      <c r="AT32" s="89"/>
      <c r="AU32" s="89"/>
      <c r="AV32" s="89"/>
      <c r="AW32" s="89"/>
      <c r="AX32" s="89"/>
      <c r="AY32" s="888"/>
      <c r="AZ32" s="888"/>
    </row>
    <row r="33" spans="2:52" ht="30" customHeight="1">
      <c r="B33" s="204" t="s">
        <v>217</v>
      </c>
      <c r="C33" s="577" t="s">
        <v>181</v>
      </c>
      <c r="D33" s="799" t="s">
        <v>202</v>
      </c>
      <c r="E33" s="799" t="s">
        <v>202</v>
      </c>
      <c r="F33" s="799"/>
      <c r="G33" s="800"/>
      <c r="H33" s="799"/>
      <c r="I33" s="800"/>
      <c r="J33" s="799"/>
      <c r="K33" s="799"/>
      <c r="L33" s="799"/>
      <c r="M33" s="799"/>
      <c r="N33" s="799"/>
      <c r="O33" s="799"/>
      <c r="P33" s="799"/>
      <c r="Q33" s="799"/>
      <c r="R33" s="799"/>
      <c r="S33" s="799"/>
      <c r="T33" s="799"/>
      <c r="U33" s="800"/>
      <c r="V33" s="208" t="s">
        <v>1479</v>
      </c>
      <c r="AF33" s="89"/>
      <c r="AG33" s="89"/>
      <c r="AH33" s="89"/>
      <c r="AI33" s="89"/>
      <c r="AJ33" s="89"/>
      <c r="AK33" s="89"/>
      <c r="AL33" s="89"/>
      <c r="AM33" s="89"/>
      <c r="AN33" s="89"/>
      <c r="AO33" s="89"/>
      <c r="AP33" s="89"/>
      <c r="AQ33" s="89"/>
      <c r="AR33" s="89"/>
      <c r="AS33" s="89"/>
      <c r="AT33" s="89"/>
      <c r="AU33" s="89"/>
      <c r="AV33" s="89"/>
      <c r="AW33" s="89"/>
      <c r="AX33" s="89"/>
      <c r="AY33" s="888"/>
      <c r="AZ33" s="888"/>
    </row>
    <row r="34" spans="2:52" ht="30" customHeight="1">
      <c r="B34" s="204" t="s">
        <v>218</v>
      </c>
      <c r="C34" s="818" t="s">
        <v>450</v>
      </c>
      <c r="D34" s="799" t="s">
        <v>202</v>
      </c>
      <c r="E34" s="799" t="s">
        <v>202</v>
      </c>
      <c r="F34" s="799"/>
      <c r="G34" s="800"/>
      <c r="H34" s="799"/>
      <c r="I34" s="800"/>
      <c r="J34" s="799"/>
      <c r="K34" s="799"/>
      <c r="L34" s="799" t="s">
        <v>204</v>
      </c>
      <c r="M34" s="799"/>
      <c r="N34" s="799"/>
      <c r="O34" s="799"/>
      <c r="P34" s="799"/>
      <c r="Q34" s="799"/>
      <c r="R34" s="799"/>
      <c r="S34" s="799"/>
      <c r="T34" s="799"/>
      <c r="U34" s="800"/>
      <c r="V34" s="208" t="s">
        <v>1479</v>
      </c>
      <c r="AF34" s="89"/>
      <c r="AG34" s="89"/>
      <c r="AH34" s="89"/>
      <c r="AI34" s="89"/>
      <c r="AJ34" s="89"/>
      <c r="AK34" s="89"/>
      <c r="AL34" s="89"/>
      <c r="AM34" s="89"/>
      <c r="AN34" s="89"/>
      <c r="AO34" s="89"/>
      <c r="AP34" s="89"/>
      <c r="AQ34" s="89"/>
      <c r="AR34" s="89"/>
      <c r="AS34" s="89"/>
      <c r="AT34" s="89"/>
      <c r="AU34" s="89"/>
      <c r="AV34" s="89"/>
      <c r="AW34" s="89"/>
      <c r="AX34" s="89"/>
      <c r="AY34" s="888"/>
      <c r="AZ34" s="888"/>
    </row>
    <row r="35" spans="2:52" ht="30" customHeight="1">
      <c r="B35" s="204" t="s">
        <v>219</v>
      </c>
      <c r="C35" s="577" t="s">
        <v>182</v>
      </c>
      <c r="D35" s="799" t="s">
        <v>202</v>
      </c>
      <c r="E35" s="799" t="s">
        <v>202</v>
      </c>
      <c r="F35" s="799"/>
      <c r="G35" s="800" t="s">
        <v>231</v>
      </c>
      <c r="H35" s="799"/>
      <c r="I35" s="800"/>
      <c r="J35" s="799"/>
      <c r="K35" s="799"/>
      <c r="L35" s="799"/>
      <c r="M35" s="799"/>
      <c r="N35" s="799"/>
      <c r="O35" s="799"/>
      <c r="P35" s="799"/>
      <c r="Q35" s="799"/>
      <c r="R35" s="799"/>
      <c r="S35" s="799"/>
      <c r="T35" s="799"/>
      <c r="U35" s="800"/>
      <c r="V35" s="208" t="s">
        <v>1114</v>
      </c>
      <c r="AF35" s="89"/>
      <c r="AG35" s="89"/>
      <c r="AH35" s="89"/>
      <c r="AI35" s="89"/>
      <c r="AJ35" s="89"/>
      <c r="AK35" s="89"/>
      <c r="AL35" s="89"/>
      <c r="AM35" s="89"/>
      <c r="AN35" s="89"/>
      <c r="AO35" s="89"/>
      <c r="AP35" s="89"/>
      <c r="AQ35" s="89"/>
      <c r="AR35" s="89"/>
      <c r="AS35" s="89"/>
      <c r="AT35" s="89"/>
      <c r="AU35" s="89"/>
      <c r="AV35" s="89"/>
      <c r="AW35" s="89"/>
      <c r="AX35" s="89"/>
      <c r="AY35" s="888"/>
      <c r="AZ35" s="888"/>
    </row>
    <row r="36" spans="2:52" ht="30" customHeight="1">
      <c r="B36" s="204" t="s">
        <v>220</v>
      </c>
      <c r="C36" s="577" t="s">
        <v>152</v>
      </c>
      <c r="D36" s="799" t="s">
        <v>202</v>
      </c>
      <c r="E36" s="799" t="s">
        <v>202</v>
      </c>
      <c r="F36" s="799"/>
      <c r="G36" s="800"/>
      <c r="H36" s="799"/>
      <c r="I36" s="800"/>
      <c r="J36" s="799"/>
      <c r="K36" s="799"/>
      <c r="L36" s="799"/>
      <c r="M36" s="799"/>
      <c r="N36" s="799"/>
      <c r="O36" s="799"/>
      <c r="P36" s="799"/>
      <c r="Q36" s="799"/>
      <c r="R36" s="799"/>
      <c r="S36" s="799"/>
      <c r="T36" s="799"/>
      <c r="U36" s="800"/>
      <c r="V36" s="208"/>
      <c r="AF36" s="89"/>
      <c r="AG36" s="89"/>
      <c r="AH36" s="89"/>
      <c r="AI36" s="89"/>
      <c r="AJ36" s="89"/>
      <c r="AK36" s="89"/>
      <c r="AL36" s="89"/>
      <c r="AM36" s="89"/>
      <c r="AN36" s="89"/>
      <c r="AO36" s="89"/>
      <c r="AP36" s="89"/>
      <c r="AQ36" s="89"/>
      <c r="AR36" s="89"/>
      <c r="AS36" s="89"/>
      <c r="AT36" s="89"/>
      <c r="AU36" s="89"/>
      <c r="AV36" s="89"/>
      <c r="AW36" s="89"/>
      <c r="AX36" s="89"/>
      <c r="AY36" s="888"/>
      <c r="AZ36" s="888"/>
    </row>
    <row r="37" spans="2:52" ht="30" customHeight="1">
      <c r="B37" s="204" t="s">
        <v>221</v>
      </c>
      <c r="C37" s="577" t="s">
        <v>451</v>
      </c>
      <c r="D37" s="799" t="s">
        <v>202</v>
      </c>
      <c r="E37" s="799" t="s">
        <v>202</v>
      </c>
      <c r="F37" s="799"/>
      <c r="G37" s="800" t="s">
        <v>231</v>
      </c>
      <c r="H37" s="799"/>
      <c r="I37" s="800"/>
      <c r="J37" s="799"/>
      <c r="K37" s="799"/>
      <c r="L37" s="799"/>
      <c r="M37" s="799"/>
      <c r="N37" s="799"/>
      <c r="O37" s="799"/>
      <c r="P37" s="799"/>
      <c r="Q37" s="799"/>
      <c r="R37" s="799"/>
      <c r="S37" s="799"/>
      <c r="T37" s="799"/>
      <c r="U37" s="800"/>
      <c r="V37" s="208" t="s">
        <v>234</v>
      </c>
      <c r="AF37" s="89"/>
      <c r="AG37" s="89"/>
      <c r="AH37" s="89"/>
      <c r="AI37" s="89"/>
      <c r="AJ37" s="89"/>
      <c r="AK37" s="89"/>
      <c r="AL37" s="89"/>
      <c r="AM37" s="89"/>
      <c r="AN37" s="89"/>
      <c r="AO37" s="89"/>
      <c r="AP37" s="89"/>
      <c r="AQ37" s="89"/>
      <c r="AR37" s="89"/>
      <c r="AS37" s="89"/>
      <c r="AT37" s="89"/>
      <c r="AU37" s="89"/>
      <c r="AV37" s="89"/>
      <c r="AW37" s="89"/>
      <c r="AX37" s="89"/>
      <c r="AY37" s="888"/>
      <c r="AZ37" s="888"/>
    </row>
    <row r="38" spans="2:52" ht="30" customHeight="1">
      <c r="B38" s="204" t="s">
        <v>222</v>
      </c>
      <c r="C38" s="577" t="s">
        <v>452</v>
      </c>
      <c r="D38" s="799" t="s">
        <v>202</v>
      </c>
      <c r="E38" s="799" t="s">
        <v>202</v>
      </c>
      <c r="F38" s="799"/>
      <c r="G38" s="800"/>
      <c r="H38" s="799"/>
      <c r="I38" s="800"/>
      <c r="J38" s="799"/>
      <c r="K38" s="799"/>
      <c r="L38" s="799"/>
      <c r="M38" s="799"/>
      <c r="N38" s="799"/>
      <c r="O38" s="799"/>
      <c r="P38" s="799"/>
      <c r="Q38" s="799"/>
      <c r="R38" s="799"/>
      <c r="S38" s="799"/>
      <c r="T38" s="799"/>
      <c r="U38" s="800"/>
      <c r="V38" s="208"/>
      <c r="AF38" s="89"/>
      <c r="AG38" s="89"/>
      <c r="AH38" s="89"/>
      <c r="AI38" s="89"/>
      <c r="AJ38" s="89"/>
      <c r="AK38" s="89"/>
      <c r="AL38" s="89"/>
      <c r="AM38" s="89"/>
      <c r="AN38" s="89"/>
      <c r="AO38" s="89"/>
      <c r="AP38" s="89"/>
      <c r="AQ38" s="89"/>
      <c r="AR38" s="89"/>
      <c r="AS38" s="89"/>
      <c r="AT38" s="89"/>
      <c r="AU38" s="89"/>
      <c r="AV38" s="89"/>
      <c r="AW38" s="89"/>
      <c r="AX38" s="89"/>
      <c r="AY38" s="89"/>
      <c r="AZ38" s="89"/>
    </row>
    <row r="39" spans="2:52" ht="30" customHeight="1">
      <c r="B39" s="204" t="s">
        <v>223</v>
      </c>
      <c r="C39" s="577" t="s">
        <v>641</v>
      </c>
      <c r="D39" s="799" t="s">
        <v>202</v>
      </c>
      <c r="E39" s="799" t="s">
        <v>202</v>
      </c>
      <c r="F39" s="799"/>
      <c r="G39" s="800"/>
      <c r="H39" s="799"/>
      <c r="I39" s="800"/>
      <c r="J39" s="799"/>
      <c r="K39" s="799"/>
      <c r="L39" s="799"/>
      <c r="M39" s="799"/>
      <c r="N39" s="799"/>
      <c r="O39" s="799"/>
      <c r="P39" s="799"/>
      <c r="Q39" s="799"/>
      <c r="R39" s="799"/>
      <c r="S39" s="799"/>
      <c r="T39" s="799"/>
      <c r="U39" s="800"/>
      <c r="V39" s="208"/>
      <c r="AF39" s="89"/>
      <c r="AG39" s="89"/>
      <c r="AH39" s="89"/>
      <c r="AI39" s="89"/>
      <c r="AJ39" s="89"/>
      <c r="AK39" s="89"/>
      <c r="AL39" s="89"/>
      <c r="AM39" s="89"/>
      <c r="AN39" s="89"/>
      <c r="AO39" s="89"/>
      <c r="AP39" s="89"/>
      <c r="AQ39" s="89"/>
      <c r="AR39" s="89"/>
      <c r="AS39" s="89"/>
      <c r="AT39" s="89"/>
      <c r="AU39" s="89"/>
      <c r="AV39" s="89"/>
      <c r="AW39" s="89"/>
      <c r="AX39" s="89"/>
      <c r="AY39" s="888"/>
      <c r="AZ39" s="888"/>
    </row>
    <row r="40" spans="2:52" ht="30" customHeight="1">
      <c r="B40" s="204" t="s">
        <v>224</v>
      </c>
      <c r="C40" s="577" t="s">
        <v>100</v>
      </c>
      <c r="D40" s="799" t="s">
        <v>202</v>
      </c>
      <c r="E40" s="799" t="s">
        <v>202</v>
      </c>
      <c r="F40" s="799"/>
      <c r="G40" s="800" t="s">
        <v>231</v>
      </c>
      <c r="H40" s="799"/>
      <c r="I40" s="800"/>
      <c r="J40" s="799"/>
      <c r="K40" s="799"/>
      <c r="L40" s="799"/>
      <c r="M40" s="799"/>
      <c r="N40" s="799"/>
      <c r="O40" s="799"/>
      <c r="P40" s="799"/>
      <c r="Q40" s="799"/>
      <c r="R40" s="799"/>
      <c r="S40" s="799"/>
      <c r="T40" s="799"/>
      <c r="U40" s="800"/>
      <c r="V40" s="208" t="s">
        <v>236</v>
      </c>
      <c r="AF40" s="89"/>
      <c r="AG40" s="89"/>
      <c r="AH40" s="89"/>
      <c r="AI40" s="89"/>
      <c r="AJ40" s="89"/>
      <c r="AK40" s="89"/>
      <c r="AL40" s="89"/>
      <c r="AM40" s="89"/>
      <c r="AN40" s="89"/>
      <c r="AO40" s="89"/>
      <c r="AP40" s="888"/>
      <c r="AQ40" s="888"/>
      <c r="AR40" s="888"/>
      <c r="AS40" s="888"/>
      <c r="AT40" s="89"/>
      <c r="AU40" s="89"/>
      <c r="AV40" s="89"/>
      <c r="AW40" s="888"/>
      <c r="AX40" s="888"/>
      <c r="AY40" s="888"/>
      <c r="AZ40" s="888"/>
    </row>
    <row r="41" spans="2:52" ht="30" customHeight="1">
      <c r="B41" s="204" t="s">
        <v>225</v>
      </c>
      <c r="C41" s="577" t="s">
        <v>101</v>
      </c>
      <c r="D41" s="799" t="s">
        <v>202</v>
      </c>
      <c r="E41" s="799" t="s">
        <v>202</v>
      </c>
      <c r="F41" s="799"/>
      <c r="G41" s="800" t="s">
        <v>231</v>
      </c>
      <c r="H41" s="799"/>
      <c r="I41" s="800"/>
      <c r="J41" s="799"/>
      <c r="K41" s="799"/>
      <c r="L41" s="799"/>
      <c r="M41" s="799"/>
      <c r="N41" s="799"/>
      <c r="O41" s="799"/>
      <c r="P41" s="799"/>
      <c r="Q41" s="799"/>
      <c r="R41" s="799"/>
      <c r="S41" s="799"/>
      <c r="T41" s="799"/>
      <c r="U41" s="800"/>
      <c r="V41" s="208" t="s">
        <v>236</v>
      </c>
      <c r="AF41" s="89"/>
      <c r="AG41" s="89"/>
      <c r="AH41" s="89"/>
      <c r="AI41" s="89"/>
      <c r="AJ41" s="89"/>
      <c r="AK41" s="89"/>
      <c r="AL41" s="89"/>
      <c r="AM41" s="89"/>
      <c r="AN41" s="89"/>
      <c r="AO41" s="89"/>
      <c r="AP41" s="888"/>
      <c r="AQ41" s="888"/>
      <c r="AR41" s="888"/>
      <c r="AS41" s="888"/>
      <c r="AT41" s="89"/>
      <c r="AU41" s="89"/>
      <c r="AV41" s="89"/>
      <c r="AW41" s="888"/>
      <c r="AX41" s="888"/>
      <c r="AY41" s="888"/>
      <c r="AZ41" s="888"/>
    </row>
    <row r="42" spans="2:52" ht="30" customHeight="1">
      <c r="B42" s="204" t="s">
        <v>226</v>
      </c>
      <c r="C42" s="577" t="s">
        <v>102</v>
      </c>
      <c r="D42" s="799" t="s">
        <v>202</v>
      </c>
      <c r="E42" s="799" t="s">
        <v>202</v>
      </c>
      <c r="F42" s="799"/>
      <c r="G42" s="800"/>
      <c r="H42" s="799"/>
      <c r="I42" s="800"/>
      <c r="J42" s="799"/>
      <c r="K42" s="799"/>
      <c r="L42" s="799"/>
      <c r="M42" s="799"/>
      <c r="N42" s="799"/>
      <c r="O42" s="799"/>
      <c r="P42" s="799"/>
      <c r="Q42" s="799"/>
      <c r="R42" s="799"/>
      <c r="S42" s="799"/>
      <c r="T42" s="799"/>
      <c r="U42" s="800"/>
      <c r="V42" s="208"/>
      <c r="AF42" s="89"/>
      <c r="AG42" s="89"/>
      <c r="AH42" s="89"/>
      <c r="AI42" s="89"/>
      <c r="AJ42" s="89"/>
      <c r="AK42" s="89"/>
      <c r="AL42" s="89"/>
      <c r="AM42" s="89"/>
      <c r="AN42" s="89"/>
      <c r="AO42" s="89"/>
      <c r="AP42" s="888"/>
      <c r="AQ42" s="888"/>
      <c r="AR42" s="888"/>
      <c r="AS42" s="888"/>
      <c r="AT42" s="89"/>
      <c r="AU42" s="89"/>
      <c r="AV42" s="89"/>
      <c r="AW42" s="888"/>
      <c r="AX42" s="888"/>
      <c r="AY42" s="888"/>
      <c r="AZ42" s="888"/>
    </row>
    <row r="43" spans="2:52" ht="30" customHeight="1">
      <c r="B43" s="204" t="s">
        <v>227</v>
      </c>
      <c r="C43" s="577" t="s">
        <v>453</v>
      </c>
      <c r="D43" s="799" t="s">
        <v>202</v>
      </c>
      <c r="E43" s="799" t="s">
        <v>202</v>
      </c>
      <c r="F43" s="799"/>
      <c r="G43" s="800" t="s">
        <v>231</v>
      </c>
      <c r="H43" s="799"/>
      <c r="I43" s="800"/>
      <c r="J43" s="799"/>
      <c r="K43" s="799"/>
      <c r="L43" s="799"/>
      <c r="M43" s="799"/>
      <c r="N43" s="799"/>
      <c r="O43" s="799"/>
      <c r="P43" s="799"/>
      <c r="Q43" s="799"/>
      <c r="R43" s="799" t="s">
        <v>202</v>
      </c>
      <c r="S43" s="799"/>
      <c r="T43" s="799"/>
      <c r="U43" s="800"/>
      <c r="V43" s="208" t="s">
        <v>1115</v>
      </c>
      <c r="AF43" s="89"/>
      <c r="AG43" s="89"/>
      <c r="AH43" s="89"/>
      <c r="AI43" s="89"/>
      <c r="AJ43" s="89"/>
      <c r="AK43" s="89"/>
      <c r="AL43" s="89"/>
      <c r="AM43" s="89"/>
      <c r="AN43" s="89"/>
      <c r="AO43" s="89"/>
      <c r="AP43" s="888"/>
      <c r="AQ43" s="888"/>
      <c r="AR43" s="888"/>
      <c r="AS43" s="888"/>
      <c r="AT43" s="89"/>
      <c r="AU43" s="89"/>
      <c r="AV43" s="89"/>
      <c r="AW43" s="888"/>
      <c r="AX43" s="888"/>
      <c r="AY43" s="888"/>
      <c r="AZ43" s="888"/>
    </row>
    <row r="44" spans="2:52" ht="30" customHeight="1">
      <c r="B44" s="204" t="s">
        <v>228</v>
      </c>
      <c r="C44" s="577" t="s">
        <v>184</v>
      </c>
      <c r="D44" s="799" t="s">
        <v>202</v>
      </c>
      <c r="E44" s="799" t="s">
        <v>202</v>
      </c>
      <c r="F44" s="799"/>
      <c r="G44" s="800"/>
      <c r="H44" s="799"/>
      <c r="I44" s="800"/>
      <c r="J44" s="799"/>
      <c r="K44" s="799"/>
      <c r="L44" s="799"/>
      <c r="M44" s="799"/>
      <c r="N44" s="799"/>
      <c r="O44" s="799"/>
      <c r="P44" s="799"/>
      <c r="Q44" s="799"/>
      <c r="R44" s="799"/>
      <c r="S44" s="799"/>
      <c r="T44" s="799"/>
      <c r="U44" s="800"/>
      <c r="V44" s="208"/>
      <c r="AF44" s="89"/>
      <c r="AG44" s="89"/>
      <c r="AH44" s="89"/>
      <c r="AI44" s="89"/>
      <c r="AJ44" s="89"/>
      <c r="AK44" s="89"/>
      <c r="AL44" s="89"/>
      <c r="AM44" s="89"/>
      <c r="AN44" s="89"/>
      <c r="AO44" s="89"/>
      <c r="AP44" s="888"/>
      <c r="AQ44" s="888"/>
      <c r="AR44" s="888"/>
      <c r="AS44" s="888"/>
      <c r="AT44" s="89"/>
      <c r="AU44" s="89"/>
      <c r="AV44" s="89"/>
      <c r="AW44" s="888"/>
      <c r="AX44" s="888"/>
      <c r="AY44" s="888"/>
      <c r="AZ44" s="888"/>
    </row>
    <row r="45" spans="2:52" ht="30" customHeight="1">
      <c r="B45" s="204" t="s">
        <v>625</v>
      </c>
      <c r="C45" s="577" t="s">
        <v>185</v>
      </c>
      <c r="D45" s="799" t="s">
        <v>202</v>
      </c>
      <c r="E45" s="799" t="s">
        <v>202</v>
      </c>
      <c r="F45" s="799"/>
      <c r="G45" s="800"/>
      <c r="H45" s="799"/>
      <c r="I45" s="800"/>
      <c r="J45" s="799"/>
      <c r="K45" s="799"/>
      <c r="L45" s="799"/>
      <c r="M45" s="799"/>
      <c r="N45" s="799"/>
      <c r="O45" s="799"/>
      <c r="P45" s="799"/>
      <c r="Q45" s="799"/>
      <c r="R45" s="799"/>
      <c r="S45" s="799" t="s">
        <v>204</v>
      </c>
      <c r="T45" s="799"/>
      <c r="U45" s="800"/>
      <c r="V45" s="208"/>
      <c r="AF45" s="89"/>
      <c r="AG45" s="89"/>
      <c r="AH45" s="89"/>
      <c r="AI45" s="89"/>
      <c r="AJ45" s="89"/>
      <c r="AK45" s="89"/>
      <c r="AL45" s="89"/>
      <c r="AM45" s="89"/>
      <c r="AN45" s="89"/>
      <c r="AO45" s="89"/>
      <c r="AP45" s="888"/>
      <c r="AQ45" s="888"/>
      <c r="AR45" s="888"/>
      <c r="AS45" s="888"/>
      <c r="AT45" s="89"/>
      <c r="AU45" s="89"/>
      <c r="AV45" s="89"/>
      <c r="AW45" s="888"/>
      <c r="AX45" s="888"/>
      <c r="AY45" s="888"/>
      <c r="AZ45" s="888"/>
    </row>
    <row r="46" spans="2:52" ht="30" customHeight="1">
      <c r="B46" s="204" t="s">
        <v>626</v>
      </c>
      <c r="C46" s="577" t="s">
        <v>186</v>
      </c>
      <c r="D46" s="799" t="s">
        <v>202</v>
      </c>
      <c r="E46" s="799" t="s">
        <v>202</v>
      </c>
      <c r="F46" s="799"/>
      <c r="G46" s="800" t="s">
        <v>231</v>
      </c>
      <c r="H46" s="799"/>
      <c r="I46" s="800"/>
      <c r="J46" s="799"/>
      <c r="K46" s="799"/>
      <c r="L46" s="799"/>
      <c r="M46" s="799"/>
      <c r="N46" s="799" t="s">
        <v>202</v>
      </c>
      <c r="O46" s="799"/>
      <c r="P46" s="799"/>
      <c r="Q46" s="799"/>
      <c r="R46" s="799"/>
      <c r="S46" s="799"/>
      <c r="T46" s="799"/>
      <c r="U46" s="800"/>
      <c r="V46" s="208" t="s">
        <v>235</v>
      </c>
      <c r="AF46" s="89"/>
      <c r="AG46" s="89"/>
      <c r="AH46" s="89"/>
      <c r="AI46" s="89"/>
      <c r="AJ46" s="89"/>
      <c r="AK46" s="89"/>
      <c r="AL46" s="89"/>
      <c r="AM46" s="89"/>
      <c r="AN46" s="89"/>
      <c r="AO46" s="89"/>
      <c r="AP46" s="888"/>
      <c r="AQ46" s="888"/>
      <c r="AR46" s="888"/>
      <c r="AS46" s="888"/>
      <c r="AT46" s="89"/>
      <c r="AU46" s="89"/>
      <c r="AV46" s="89"/>
      <c r="AW46" s="888"/>
      <c r="AX46" s="888"/>
      <c r="AY46" s="888"/>
      <c r="AZ46" s="888"/>
    </row>
    <row r="47" spans="2:52" ht="30" customHeight="1">
      <c r="B47" s="204" t="s">
        <v>627</v>
      </c>
      <c r="C47" s="577" t="s">
        <v>187</v>
      </c>
      <c r="D47" s="799" t="s">
        <v>202</v>
      </c>
      <c r="E47" s="799" t="s">
        <v>202</v>
      </c>
      <c r="F47" s="799"/>
      <c r="G47" s="800"/>
      <c r="H47" s="799"/>
      <c r="I47" s="800"/>
      <c r="J47" s="799"/>
      <c r="K47" s="799"/>
      <c r="L47" s="799"/>
      <c r="M47" s="799"/>
      <c r="N47" s="799"/>
      <c r="O47" s="799"/>
      <c r="P47" s="799"/>
      <c r="Q47" s="799"/>
      <c r="R47" s="799"/>
      <c r="S47" s="799"/>
      <c r="T47" s="799"/>
      <c r="U47" s="800"/>
      <c r="V47" s="208"/>
      <c r="AF47" s="89"/>
      <c r="AG47" s="89"/>
      <c r="AH47" s="89"/>
      <c r="AI47" s="89"/>
      <c r="AJ47" s="89"/>
      <c r="AK47" s="89"/>
      <c r="AL47" s="89"/>
      <c r="AM47" s="89"/>
      <c r="AN47" s="89"/>
      <c r="AO47" s="89"/>
      <c r="AP47" s="888"/>
      <c r="AQ47" s="888"/>
      <c r="AR47" s="888"/>
      <c r="AS47" s="888"/>
      <c r="AT47" s="89"/>
      <c r="AU47" s="89"/>
      <c r="AV47" s="89"/>
      <c r="AW47" s="888"/>
      <c r="AX47" s="888"/>
      <c r="AY47" s="888"/>
      <c r="AZ47" s="888"/>
    </row>
    <row r="48" spans="2:52" ht="30" customHeight="1">
      <c r="B48" s="204" t="s">
        <v>628</v>
      </c>
      <c r="C48" s="577" t="s">
        <v>169</v>
      </c>
      <c r="D48" s="799" t="s">
        <v>202</v>
      </c>
      <c r="E48" s="799" t="s">
        <v>202</v>
      </c>
      <c r="F48" s="799"/>
      <c r="G48" s="800"/>
      <c r="H48" s="799"/>
      <c r="I48" s="800" t="s">
        <v>204</v>
      </c>
      <c r="J48" s="799"/>
      <c r="K48" s="799"/>
      <c r="L48" s="799"/>
      <c r="M48" s="799"/>
      <c r="N48" s="799"/>
      <c r="O48" s="799"/>
      <c r="P48" s="799"/>
      <c r="Q48" s="799"/>
      <c r="R48" s="799"/>
      <c r="S48" s="799"/>
      <c r="T48" s="799"/>
      <c r="U48" s="800"/>
      <c r="V48" s="208"/>
      <c r="AF48" s="89"/>
      <c r="AG48" s="89"/>
      <c r="AH48" s="89"/>
      <c r="AI48" s="89"/>
      <c r="AJ48" s="89"/>
      <c r="AK48" s="89"/>
      <c r="AL48" s="89"/>
      <c r="AM48" s="89"/>
      <c r="AN48" s="89"/>
      <c r="AO48" s="89"/>
      <c r="AP48" s="888"/>
      <c r="AQ48" s="888"/>
      <c r="AR48" s="888"/>
      <c r="AS48" s="888"/>
      <c r="AT48" s="89"/>
      <c r="AU48" s="89"/>
      <c r="AV48" s="89"/>
      <c r="AW48" s="888"/>
      <c r="AX48" s="888"/>
      <c r="AY48" s="888"/>
      <c r="AZ48" s="888"/>
    </row>
    <row r="49" spans="2:52" ht="30" customHeight="1">
      <c r="B49" s="204" t="s">
        <v>629</v>
      </c>
      <c r="C49" s="577" t="s">
        <v>829</v>
      </c>
      <c r="D49" s="799" t="s">
        <v>202</v>
      </c>
      <c r="E49" s="799" t="s">
        <v>202</v>
      </c>
      <c r="F49" s="799"/>
      <c r="G49" s="800"/>
      <c r="H49" s="799"/>
      <c r="I49" s="800"/>
      <c r="J49" s="799"/>
      <c r="K49" s="799"/>
      <c r="L49" s="799"/>
      <c r="M49" s="799"/>
      <c r="N49" s="799"/>
      <c r="O49" s="799"/>
      <c r="P49" s="799"/>
      <c r="Q49" s="799"/>
      <c r="R49" s="799"/>
      <c r="S49" s="799"/>
      <c r="T49" s="799" t="s">
        <v>204</v>
      </c>
      <c r="U49" s="800"/>
      <c r="V49" s="208"/>
      <c r="AF49" s="89"/>
      <c r="AG49" s="89"/>
      <c r="AH49" s="89"/>
      <c r="AI49" s="89"/>
      <c r="AJ49" s="89"/>
      <c r="AK49" s="89"/>
      <c r="AL49" s="89"/>
      <c r="AM49" s="89"/>
      <c r="AN49" s="89"/>
      <c r="AO49" s="89"/>
      <c r="AP49" s="89"/>
      <c r="AQ49" s="89"/>
      <c r="AR49" s="89"/>
      <c r="AS49" s="89"/>
      <c r="AT49" s="89"/>
      <c r="AU49" s="89"/>
      <c r="AV49" s="89"/>
      <c r="AW49" s="89"/>
      <c r="AX49" s="89"/>
      <c r="AY49" s="89"/>
      <c r="AZ49" s="89"/>
    </row>
    <row r="50" spans="2:52" ht="30" customHeight="1">
      <c r="B50" s="204" t="s">
        <v>630</v>
      </c>
      <c r="C50" s="577" t="s">
        <v>188</v>
      </c>
      <c r="D50" s="799" t="s">
        <v>202</v>
      </c>
      <c r="E50" s="799" t="s">
        <v>202</v>
      </c>
      <c r="F50" s="799"/>
      <c r="G50" s="800"/>
      <c r="H50" s="799"/>
      <c r="I50" s="800"/>
      <c r="J50" s="799"/>
      <c r="K50" s="799"/>
      <c r="L50" s="799"/>
      <c r="M50" s="799"/>
      <c r="N50" s="799"/>
      <c r="O50" s="799"/>
      <c r="P50" s="799"/>
      <c r="Q50" s="799"/>
      <c r="R50" s="799"/>
      <c r="S50" s="799"/>
      <c r="T50" s="799"/>
      <c r="U50" s="800" t="s">
        <v>204</v>
      </c>
      <c r="V50" s="208"/>
      <c r="AF50" s="89"/>
      <c r="AG50" s="89"/>
      <c r="AH50" s="89"/>
      <c r="AI50" s="89"/>
      <c r="AJ50" s="89"/>
      <c r="AK50" s="89"/>
      <c r="AL50" s="89"/>
      <c r="AM50" s="89"/>
      <c r="AN50" s="89"/>
      <c r="AO50" s="89"/>
      <c r="AP50" s="888"/>
      <c r="AQ50" s="888"/>
      <c r="AR50" s="888"/>
      <c r="AS50" s="888"/>
      <c r="AT50" s="89"/>
      <c r="AU50" s="89"/>
      <c r="AV50" s="89"/>
      <c r="AW50" s="888"/>
      <c r="AX50" s="888"/>
      <c r="AY50" s="888"/>
      <c r="AZ50" s="888"/>
    </row>
    <row r="51" spans="2:52" ht="30" customHeight="1">
      <c r="B51" s="204" t="s">
        <v>631</v>
      </c>
      <c r="C51" s="806" t="s">
        <v>454</v>
      </c>
      <c r="D51" s="799" t="s">
        <v>202</v>
      </c>
      <c r="E51" s="799" t="s">
        <v>202</v>
      </c>
      <c r="F51" s="801"/>
      <c r="G51" s="802"/>
      <c r="H51" s="801"/>
      <c r="I51" s="802"/>
      <c r="J51" s="801"/>
      <c r="K51" s="801"/>
      <c r="L51" s="801"/>
      <c r="M51" s="801"/>
      <c r="N51" s="801"/>
      <c r="O51" s="801"/>
      <c r="P51" s="801"/>
      <c r="Q51" s="801"/>
      <c r="R51" s="801"/>
      <c r="S51" s="801"/>
      <c r="T51" s="801"/>
      <c r="U51" s="802"/>
      <c r="V51" s="219"/>
      <c r="AF51" s="89"/>
      <c r="AG51" s="89"/>
      <c r="AH51" s="89"/>
      <c r="AI51" s="89"/>
      <c r="AJ51" s="89"/>
      <c r="AK51" s="89"/>
      <c r="AL51" s="89"/>
      <c r="AM51" s="89"/>
      <c r="AN51" s="89"/>
      <c r="AO51" s="89"/>
      <c r="AP51" s="89"/>
      <c r="AQ51" s="89"/>
      <c r="AR51" s="89"/>
      <c r="AS51" s="89"/>
      <c r="AT51" s="89"/>
      <c r="AU51" s="89"/>
      <c r="AV51" s="89"/>
      <c r="AW51" s="89"/>
      <c r="AX51" s="89"/>
      <c r="AY51" s="89"/>
      <c r="AZ51" s="89"/>
    </row>
    <row r="52" spans="2:52" ht="30" customHeight="1">
      <c r="B52" s="204" t="s">
        <v>632</v>
      </c>
      <c r="C52" s="806" t="s">
        <v>455</v>
      </c>
      <c r="D52" s="799" t="s">
        <v>202</v>
      </c>
      <c r="E52" s="799" t="s">
        <v>202</v>
      </c>
      <c r="F52" s="801"/>
      <c r="G52" s="802"/>
      <c r="H52" s="801"/>
      <c r="I52" s="802"/>
      <c r="J52" s="801"/>
      <c r="K52" s="801"/>
      <c r="L52" s="801"/>
      <c r="M52" s="801"/>
      <c r="N52" s="801"/>
      <c r="O52" s="801"/>
      <c r="P52" s="801"/>
      <c r="Q52" s="801"/>
      <c r="R52" s="801"/>
      <c r="S52" s="801"/>
      <c r="T52" s="801"/>
      <c r="U52" s="802"/>
      <c r="V52" s="219"/>
      <c r="AF52" s="89"/>
      <c r="AG52" s="89"/>
      <c r="AH52" s="89"/>
      <c r="AI52" s="89"/>
      <c r="AJ52" s="89"/>
      <c r="AK52" s="89"/>
      <c r="AL52" s="89"/>
      <c r="AM52" s="89"/>
      <c r="AN52" s="89"/>
      <c r="AO52" s="89"/>
      <c r="AP52" s="89"/>
      <c r="AQ52" s="89"/>
      <c r="AR52" s="89"/>
      <c r="AS52" s="89"/>
      <c r="AT52" s="89"/>
      <c r="AU52" s="89"/>
      <c r="AV52" s="89"/>
      <c r="AW52" s="89"/>
      <c r="AX52" s="89"/>
      <c r="AY52" s="89"/>
      <c r="AZ52" s="89"/>
    </row>
    <row r="53" spans="2:52" ht="30" customHeight="1">
      <c r="B53" s="204" t="s">
        <v>633</v>
      </c>
      <c r="C53" s="806" t="s">
        <v>456</v>
      </c>
      <c r="D53" s="799" t="s">
        <v>202</v>
      </c>
      <c r="E53" s="799" t="s">
        <v>202</v>
      </c>
      <c r="F53" s="801"/>
      <c r="G53" s="802"/>
      <c r="H53" s="801"/>
      <c r="I53" s="802"/>
      <c r="J53" s="801"/>
      <c r="K53" s="801"/>
      <c r="L53" s="801"/>
      <c r="M53" s="801"/>
      <c r="N53" s="801"/>
      <c r="O53" s="801"/>
      <c r="P53" s="801"/>
      <c r="Q53" s="801"/>
      <c r="R53" s="801"/>
      <c r="S53" s="801"/>
      <c r="T53" s="801"/>
      <c r="U53" s="802"/>
      <c r="V53" s="219"/>
      <c r="AF53" s="89"/>
      <c r="AG53" s="89"/>
      <c r="AH53" s="89"/>
      <c r="AI53" s="89"/>
      <c r="AJ53" s="89"/>
      <c r="AK53" s="89"/>
      <c r="AL53" s="89"/>
      <c r="AM53" s="89"/>
      <c r="AN53" s="89"/>
      <c r="AO53" s="89"/>
      <c r="AP53" s="89"/>
      <c r="AQ53" s="89"/>
      <c r="AR53" s="89"/>
      <c r="AS53" s="89"/>
      <c r="AT53" s="89"/>
      <c r="AU53" s="89"/>
      <c r="AV53" s="89"/>
      <c r="AW53" s="89"/>
      <c r="AX53" s="89"/>
      <c r="AY53" s="89"/>
      <c r="AZ53" s="89"/>
    </row>
    <row r="54" spans="2:52" ht="30" customHeight="1">
      <c r="B54" s="204" t="s">
        <v>833</v>
      </c>
      <c r="C54" s="806" t="s">
        <v>457</v>
      </c>
      <c r="D54" s="799" t="s">
        <v>202</v>
      </c>
      <c r="E54" s="799" t="s">
        <v>202</v>
      </c>
      <c r="F54" s="801"/>
      <c r="G54" s="802"/>
      <c r="H54" s="801"/>
      <c r="I54" s="802"/>
      <c r="J54" s="801"/>
      <c r="K54" s="801"/>
      <c r="L54" s="801"/>
      <c r="M54" s="801"/>
      <c r="N54" s="801"/>
      <c r="O54" s="801"/>
      <c r="P54" s="801"/>
      <c r="Q54" s="801"/>
      <c r="R54" s="801"/>
      <c r="S54" s="801"/>
      <c r="T54" s="801"/>
      <c r="U54" s="802"/>
      <c r="V54" s="552"/>
      <c r="AF54" s="89"/>
      <c r="AG54" s="89"/>
      <c r="AH54" s="89"/>
      <c r="AI54" s="89"/>
      <c r="AJ54" s="89"/>
      <c r="AK54" s="89"/>
      <c r="AL54" s="89"/>
      <c r="AM54" s="89"/>
      <c r="AN54" s="89"/>
      <c r="AO54" s="89"/>
      <c r="AP54" s="89"/>
      <c r="AQ54" s="89"/>
      <c r="AR54" s="89"/>
      <c r="AS54" s="89"/>
      <c r="AT54" s="89"/>
      <c r="AU54" s="89"/>
      <c r="AV54" s="89"/>
      <c r="AW54" s="89"/>
      <c r="AX54" s="89"/>
      <c r="AY54" s="89"/>
      <c r="AZ54" s="89"/>
    </row>
    <row r="55" spans="2:52" ht="30" customHeight="1">
      <c r="B55" s="204" t="s">
        <v>834</v>
      </c>
      <c r="C55" s="807" t="s">
        <v>830</v>
      </c>
      <c r="D55" s="799" t="s">
        <v>202</v>
      </c>
      <c r="E55" s="799" t="s">
        <v>202</v>
      </c>
      <c r="F55" s="801"/>
      <c r="G55" s="802"/>
      <c r="H55" s="801"/>
      <c r="I55" s="802"/>
      <c r="J55" s="801"/>
      <c r="K55" s="801"/>
      <c r="L55" s="801"/>
      <c r="M55" s="801"/>
      <c r="N55" s="801"/>
      <c r="O55" s="801" t="s">
        <v>204</v>
      </c>
      <c r="P55" s="801"/>
      <c r="Q55" s="801"/>
      <c r="R55" s="801"/>
      <c r="S55" s="801"/>
      <c r="T55" s="801"/>
      <c r="U55" s="802"/>
      <c r="V55" s="219"/>
      <c r="AF55" s="89"/>
      <c r="AG55" s="89"/>
      <c r="AH55" s="89"/>
      <c r="AI55" s="89"/>
      <c r="AJ55" s="89"/>
      <c r="AK55" s="89"/>
      <c r="AL55" s="89"/>
      <c r="AM55" s="89"/>
      <c r="AN55" s="89"/>
      <c r="AO55" s="89"/>
      <c r="AP55" s="89"/>
      <c r="AQ55" s="89"/>
      <c r="AR55" s="89"/>
      <c r="AS55" s="89"/>
      <c r="AT55" s="89"/>
      <c r="AU55" s="89"/>
      <c r="AV55" s="89"/>
      <c r="AW55" s="89"/>
      <c r="AX55" s="89"/>
      <c r="AY55" s="89"/>
      <c r="AZ55" s="89"/>
    </row>
    <row r="56" spans="2:52" ht="30" customHeight="1">
      <c r="B56" s="204" t="s">
        <v>835</v>
      </c>
      <c r="C56" s="807" t="s">
        <v>831</v>
      </c>
      <c r="D56" s="799" t="s">
        <v>202</v>
      </c>
      <c r="E56" s="799" t="s">
        <v>202</v>
      </c>
      <c r="F56" s="801"/>
      <c r="G56" s="802"/>
      <c r="H56" s="801"/>
      <c r="I56" s="802"/>
      <c r="J56" s="801"/>
      <c r="K56" s="801"/>
      <c r="L56" s="801"/>
      <c r="M56" s="801"/>
      <c r="N56" s="801"/>
      <c r="O56" s="801" t="s">
        <v>204</v>
      </c>
      <c r="P56" s="801"/>
      <c r="Q56" s="801"/>
      <c r="R56" s="801"/>
      <c r="S56" s="801"/>
      <c r="T56" s="801"/>
      <c r="U56" s="802"/>
      <c r="V56" s="219"/>
      <c r="AF56" s="89"/>
      <c r="AG56" s="89"/>
      <c r="AH56" s="89"/>
      <c r="AI56" s="89"/>
      <c r="AJ56" s="89"/>
      <c r="AK56" s="89"/>
      <c r="AL56" s="89"/>
      <c r="AM56" s="89"/>
      <c r="AN56" s="89"/>
      <c r="AO56" s="89"/>
      <c r="AP56" s="89"/>
      <c r="AQ56" s="89"/>
      <c r="AR56" s="89"/>
      <c r="AS56" s="89"/>
      <c r="AT56" s="89"/>
      <c r="AU56" s="89"/>
      <c r="AV56" s="89"/>
      <c r="AW56" s="89"/>
      <c r="AX56" s="89"/>
      <c r="AY56" s="89"/>
      <c r="AZ56" s="89"/>
    </row>
    <row r="57" spans="2:52" ht="30" customHeight="1">
      <c r="B57" s="204" t="s">
        <v>836</v>
      </c>
      <c r="C57" s="807" t="s">
        <v>832</v>
      </c>
      <c r="D57" s="799" t="s">
        <v>202</v>
      </c>
      <c r="E57" s="799" t="s">
        <v>202</v>
      </c>
      <c r="F57" s="801"/>
      <c r="G57" s="802"/>
      <c r="H57" s="801"/>
      <c r="I57" s="802"/>
      <c r="J57" s="801"/>
      <c r="K57" s="801"/>
      <c r="L57" s="801"/>
      <c r="M57" s="801" t="s">
        <v>204</v>
      </c>
      <c r="N57" s="801"/>
      <c r="O57" s="801"/>
      <c r="P57" s="801"/>
      <c r="Q57" s="801"/>
      <c r="R57" s="801"/>
      <c r="S57" s="801"/>
      <c r="T57" s="801"/>
      <c r="U57" s="802"/>
      <c r="V57" s="219"/>
      <c r="AF57" s="89"/>
      <c r="AG57" s="89"/>
      <c r="AH57" s="89"/>
      <c r="AI57" s="89"/>
      <c r="AJ57" s="89"/>
      <c r="AK57" s="89"/>
      <c r="AL57" s="89"/>
      <c r="AM57" s="89"/>
      <c r="AN57" s="89"/>
      <c r="AO57" s="89"/>
      <c r="AP57" s="89"/>
      <c r="AQ57" s="89"/>
      <c r="AR57" s="89"/>
      <c r="AS57" s="89"/>
      <c r="AT57" s="89"/>
      <c r="AU57" s="89"/>
      <c r="AV57" s="89"/>
      <c r="AW57" s="89"/>
      <c r="AX57" s="89"/>
      <c r="AY57" s="89"/>
      <c r="AZ57" s="89"/>
    </row>
    <row r="58" spans="2:52" ht="30" customHeight="1">
      <c r="B58" s="204" t="s">
        <v>837</v>
      </c>
      <c r="C58" s="807" t="s">
        <v>189</v>
      </c>
      <c r="D58" s="799" t="s">
        <v>202</v>
      </c>
      <c r="E58" s="799" t="s">
        <v>202</v>
      </c>
      <c r="F58" s="799"/>
      <c r="G58" s="800"/>
      <c r="H58" s="799"/>
      <c r="I58" s="800"/>
      <c r="J58" s="799" t="s">
        <v>204</v>
      </c>
      <c r="K58" s="799"/>
      <c r="L58" s="799"/>
      <c r="M58" s="799"/>
      <c r="N58" s="799"/>
      <c r="O58" s="799"/>
      <c r="P58" s="799"/>
      <c r="Q58" s="799"/>
      <c r="R58" s="799"/>
      <c r="S58" s="799"/>
      <c r="T58" s="799"/>
      <c r="U58" s="800"/>
      <c r="V58" s="208"/>
      <c r="AF58" s="89"/>
      <c r="AG58" s="89"/>
      <c r="AH58" s="89"/>
      <c r="AI58" s="89"/>
      <c r="AJ58" s="89"/>
      <c r="AK58" s="89"/>
      <c r="AL58" s="89"/>
      <c r="AM58" s="89"/>
      <c r="AN58" s="89"/>
      <c r="AO58" s="89"/>
      <c r="AP58" s="888"/>
      <c r="AQ58" s="888"/>
      <c r="AR58" s="888"/>
      <c r="AS58" s="888"/>
      <c r="AT58" s="89"/>
      <c r="AU58" s="89"/>
      <c r="AV58" s="89"/>
      <c r="AW58" s="888"/>
      <c r="AX58" s="888"/>
      <c r="AY58" s="888"/>
      <c r="AZ58" s="888"/>
    </row>
    <row r="59" spans="2:52" ht="30" customHeight="1">
      <c r="B59" s="204" t="s">
        <v>838</v>
      </c>
      <c r="C59" s="807" t="s">
        <v>460</v>
      </c>
      <c r="D59" s="801" t="s">
        <v>202</v>
      </c>
      <c r="E59" s="801" t="s">
        <v>202</v>
      </c>
      <c r="F59" s="801"/>
      <c r="G59" s="801"/>
      <c r="H59" s="801"/>
      <c r="I59" s="801"/>
      <c r="J59" s="801"/>
      <c r="K59" s="801"/>
      <c r="L59" s="801"/>
      <c r="M59" s="801"/>
      <c r="N59" s="801"/>
      <c r="O59" s="801"/>
      <c r="P59" s="801"/>
      <c r="Q59" s="800"/>
      <c r="R59" s="801"/>
      <c r="S59" s="801"/>
      <c r="T59" s="801"/>
      <c r="U59" s="801"/>
      <c r="V59" s="219"/>
      <c r="AF59" s="89"/>
      <c r="AG59" s="89"/>
      <c r="AH59" s="89"/>
      <c r="AI59" s="89"/>
      <c r="AJ59" s="89"/>
      <c r="AK59" s="89"/>
      <c r="AL59" s="89"/>
      <c r="AM59" s="89"/>
      <c r="AN59" s="89"/>
      <c r="AO59" s="89"/>
      <c r="AP59" s="89"/>
      <c r="AQ59" s="89"/>
      <c r="AR59" s="89"/>
      <c r="AS59" s="89"/>
      <c r="AT59" s="89"/>
      <c r="AU59" s="89"/>
      <c r="AV59" s="89"/>
      <c r="AW59" s="89"/>
      <c r="AX59" s="89"/>
      <c r="AY59" s="89"/>
      <c r="AZ59" s="89"/>
    </row>
    <row r="60" spans="2:52" ht="30" customHeight="1">
      <c r="B60" s="305" t="s">
        <v>1112</v>
      </c>
      <c r="C60" s="808" t="s">
        <v>1045</v>
      </c>
      <c r="D60" s="803" t="s">
        <v>202</v>
      </c>
      <c r="E60" s="803" t="s">
        <v>202</v>
      </c>
      <c r="F60" s="803" t="s">
        <v>202</v>
      </c>
      <c r="G60" s="803"/>
      <c r="H60" s="803"/>
      <c r="I60" s="803"/>
      <c r="J60" s="803"/>
      <c r="K60" s="803"/>
      <c r="L60" s="803"/>
      <c r="M60" s="803"/>
      <c r="N60" s="804"/>
      <c r="O60" s="803"/>
      <c r="P60" s="804"/>
      <c r="Q60" s="805"/>
      <c r="R60" s="803"/>
      <c r="S60" s="803"/>
      <c r="T60" s="803"/>
      <c r="U60" s="803"/>
      <c r="V60" s="209"/>
      <c r="AF60" s="89"/>
      <c r="AG60" s="89"/>
      <c r="AH60" s="89"/>
      <c r="AI60" s="89"/>
      <c r="AJ60" s="89"/>
      <c r="AK60" s="89"/>
      <c r="AL60" s="89"/>
      <c r="AM60" s="89"/>
      <c r="AN60" s="89"/>
      <c r="AO60" s="89"/>
      <c r="AP60" s="89"/>
      <c r="AQ60" s="89"/>
      <c r="AR60" s="89"/>
      <c r="AS60" s="89"/>
      <c r="AT60" s="89"/>
      <c r="AU60" s="89"/>
      <c r="AV60" s="89"/>
      <c r="AW60" s="89"/>
      <c r="AX60" s="89"/>
      <c r="AY60" s="89"/>
      <c r="AZ60" s="89"/>
    </row>
    <row r="62" spans="2:52">
      <c r="V62" s="96"/>
    </row>
    <row r="63" spans="2:52">
      <c r="V63" s="96"/>
    </row>
  </sheetData>
  <mergeCells count="79">
    <mergeCell ref="AP50:AQ50"/>
    <mergeCell ref="AR50:AS50"/>
    <mergeCell ref="AW50:AX50"/>
    <mergeCell ref="AY50:AZ50"/>
    <mergeCell ref="AP58:AQ58"/>
    <mergeCell ref="AR58:AS58"/>
    <mergeCell ref="AW58:AX58"/>
    <mergeCell ref="AY58:AZ58"/>
    <mergeCell ref="AP47:AQ47"/>
    <mergeCell ref="AR47:AS47"/>
    <mergeCell ref="AW47:AX47"/>
    <mergeCell ref="AY47:AZ47"/>
    <mergeCell ref="AP48:AQ48"/>
    <mergeCell ref="AR48:AS48"/>
    <mergeCell ref="AW48:AX48"/>
    <mergeCell ref="AY48:AZ48"/>
    <mergeCell ref="AP45:AQ45"/>
    <mergeCell ref="AR45:AS45"/>
    <mergeCell ref="AW45:AX45"/>
    <mergeCell ref="AY45:AZ45"/>
    <mergeCell ref="AP46:AQ46"/>
    <mergeCell ref="AR46:AS46"/>
    <mergeCell ref="AW46:AX46"/>
    <mergeCell ref="AY46:AZ46"/>
    <mergeCell ref="AP43:AQ43"/>
    <mergeCell ref="AR43:AS43"/>
    <mergeCell ref="AW43:AX43"/>
    <mergeCell ref="AY43:AZ43"/>
    <mergeCell ref="AP44:AQ44"/>
    <mergeCell ref="AR44:AS44"/>
    <mergeCell ref="AW44:AX44"/>
    <mergeCell ref="AY44:AZ44"/>
    <mergeCell ref="AP41:AQ41"/>
    <mergeCell ref="AR41:AS41"/>
    <mergeCell ref="AW41:AX41"/>
    <mergeCell ref="AY41:AZ41"/>
    <mergeCell ref="AP42:AQ42"/>
    <mergeCell ref="AR42:AS42"/>
    <mergeCell ref="AW42:AX42"/>
    <mergeCell ref="AY42:AZ42"/>
    <mergeCell ref="AY36:AZ36"/>
    <mergeCell ref="AY37:AZ37"/>
    <mergeCell ref="AY39:AZ39"/>
    <mergeCell ref="AP40:AQ40"/>
    <mergeCell ref="AR40:AS40"/>
    <mergeCell ref="AW40:AX40"/>
    <mergeCell ref="AY40:AZ40"/>
    <mergeCell ref="AY35:AZ35"/>
    <mergeCell ref="V4:V18"/>
    <mergeCell ref="AZ4:AZ18"/>
    <mergeCell ref="AY22:AZ22"/>
    <mergeCell ref="AY23:AZ23"/>
    <mergeCell ref="AP24:AQ24"/>
    <mergeCell ref="AR24:AS24"/>
    <mergeCell ref="AW24:AX24"/>
    <mergeCell ref="AY24:AZ24"/>
    <mergeCell ref="AY29:AZ29"/>
    <mergeCell ref="AY31:AZ31"/>
    <mergeCell ref="AY32:AZ32"/>
    <mergeCell ref="AY33:AZ33"/>
    <mergeCell ref="AY34:AZ34"/>
    <mergeCell ref="U4:U18"/>
    <mergeCell ref="J4:J18"/>
    <mergeCell ref="K4:K18"/>
    <mergeCell ref="L4:L18"/>
    <mergeCell ref="M4:M18"/>
    <mergeCell ref="N4:N18"/>
    <mergeCell ref="O4:O18"/>
    <mergeCell ref="P4:P18"/>
    <mergeCell ref="Q4:Q18"/>
    <mergeCell ref="R4:R18"/>
    <mergeCell ref="S4:S18"/>
    <mergeCell ref="T4:T18"/>
    <mergeCell ref="I4:I18"/>
    <mergeCell ref="D4:D18"/>
    <mergeCell ref="E4:E18"/>
    <mergeCell ref="F4:F18"/>
    <mergeCell ref="G4:G18"/>
    <mergeCell ref="H4:H18"/>
  </mergeCells>
  <phoneticPr fontId="3"/>
  <printOptions horizontalCentered="1"/>
  <pageMargins left="0.19685039370078741" right="0.19685039370078741" top="0.19685039370078741" bottom="0.19685039370078741" header="0.31496062992125984" footer="0.31496062992125984"/>
  <pageSetup paperSize="9" scale="5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56CFE-35D4-483E-9F7A-64577A39FFEA}">
  <sheetPr>
    <tabColor rgb="FFFFFF00"/>
    <pageSetUpPr fitToPage="1"/>
  </sheetPr>
  <dimension ref="B2:AN83"/>
  <sheetViews>
    <sheetView view="pageBreakPreview" topLeftCell="A16" zoomScale="70" zoomScaleNormal="100" zoomScaleSheetLayoutView="70" workbookViewId="0">
      <selection activeCell="M25" sqref="M25:AN25"/>
    </sheetView>
  </sheetViews>
  <sheetFormatPr defaultRowHeight="13.2"/>
  <cols>
    <col min="1" max="1" width="1.44140625" customWidth="1"/>
    <col min="2" max="3" width="4.21875" customWidth="1"/>
    <col min="4" max="4" width="0.6640625" customWidth="1"/>
    <col min="5" max="40" width="3.109375" customWidth="1"/>
    <col min="41" max="41" width="1.44140625" customWidth="1"/>
    <col min="257" max="257" width="1.44140625" customWidth="1"/>
    <col min="258" max="259" width="4.21875" customWidth="1"/>
    <col min="260" max="260" width="0.6640625" customWidth="1"/>
    <col min="261" max="296" width="3.109375" customWidth="1"/>
    <col min="297" max="297" width="1.44140625" customWidth="1"/>
    <col min="513" max="513" width="1.44140625" customWidth="1"/>
    <col min="514" max="515" width="4.21875" customWidth="1"/>
    <col min="516" max="516" width="0.6640625" customWidth="1"/>
    <col min="517" max="552" width="3.109375" customWidth="1"/>
    <col min="553" max="553" width="1.44140625" customWidth="1"/>
    <col min="769" max="769" width="1.44140625" customWidth="1"/>
    <col min="770" max="771" width="4.21875" customWidth="1"/>
    <col min="772" max="772" width="0.6640625" customWidth="1"/>
    <col min="773" max="808" width="3.109375" customWidth="1"/>
    <col min="809" max="809" width="1.44140625" customWidth="1"/>
    <col min="1025" max="1025" width="1.44140625" customWidth="1"/>
    <col min="1026" max="1027" width="4.21875" customWidth="1"/>
    <col min="1028" max="1028" width="0.6640625" customWidth="1"/>
    <col min="1029" max="1064" width="3.109375" customWidth="1"/>
    <col min="1065" max="1065" width="1.44140625" customWidth="1"/>
    <col min="1281" max="1281" width="1.44140625" customWidth="1"/>
    <col min="1282" max="1283" width="4.21875" customWidth="1"/>
    <col min="1284" max="1284" width="0.6640625" customWidth="1"/>
    <col min="1285" max="1320" width="3.109375" customWidth="1"/>
    <col min="1321" max="1321" width="1.44140625" customWidth="1"/>
    <col min="1537" max="1537" width="1.44140625" customWidth="1"/>
    <col min="1538" max="1539" width="4.21875" customWidth="1"/>
    <col min="1540" max="1540" width="0.6640625" customWidth="1"/>
    <col min="1541" max="1576" width="3.109375" customWidth="1"/>
    <col min="1577" max="1577" width="1.44140625" customWidth="1"/>
    <col min="1793" max="1793" width="1.44140625" customWidth="1"/>
    <col min="1794" max="1795" width="4.21875" customWidth="1"/>
    <col min="1796" max="1796" width="0.6640625" customWidth="1"/>
    <col min="1797" max="1832" width="3.109375" customWidth="1"/>
    <col min="1833" max="1833" width="1.44140625" customWidth="1"/>
    <col min="2049" max="2049" width="1.44140625" customWidth="1"/>
    <col min="2050" max="2051" width="4.21875" customWidth="1"/>
    <col min="2052" max="2052" width="0.6640625" customWidth="1"/>
    <col min="2053" max="2088" width="3.109375" customWidth="1"/>
    <col min="2089" max="2089" width="1.44140625" customWidth="1"/>
    <col min="2305" max="2305" width="1.44140625" customWidth="1"/>
    <col min="2306" max="2307" width="4.21875" customWidth="1"/>
    <col min="2308" max="2308" width="0.6640625" customWidth="1"/>
    <col min="2309" max="2344" width="3.109375" customWidth="1"/>
    <col min="2345" max="2345" width="1.44140625" customWidth="1"/>
    <col min="2561" max="2561" width="1.44140625" customWidth="1"/>
    <col min="2562" max="2563" width="4.21875" customWidth="1"/>
    <col min="2564" max="2564" width="0.6640625" customWidth="1"/>
    <col min="2565" max="2600" width="3.109375" customWidth="1"/>
    <col min="2601" max="2601" width="1.44140625" customWidth="1"/>
    <col min="2817" max="2817" width="1.44140625" customWidth="1"/>
    <col min="2818" max="2819" width="4.21875" customWidth="1"/>
    <col min="2820" max="2820" width="0.6640625" customWidth="1"/>
    <col min="2821" max="2856" width="3.109375" customWidth="1"/>
    <col min="2857" max="2857" width="1.44140625" customWidth="1"/>
    <col min="3073" max="3073" width="1.44140625" customWidth="1"/>
    <col min="3074" max="3075" width="4.21875" customWidth="1"/>
    <col min="3076" max="3076" width="0.6640625" customWidth="1"/>
    <col min="3077" max="3112" width="3.109375" customWidth="1"/>
    <col min="3113" max="3113" width="1.44140625" customWidth="1"/>
    <col min="3329" max="3329" width="1.44140625" customWidth="1"/>
    <col min="3330" max="3331" width="4.21875" customWidth="1"/>
    <col min="3332" max="3332" width="0.6640625" customWidth="1"/>
    <col min="3333" max="3368" width="3.109375" customWidth="1"/>
    <col min="3369" max="3369" width="1.44140625" customWidth="1"/>
    <col min="3585" max="3585" width="1.44140625" customWidth="1"/>
    <col min="3586" max="3587" width="4.21875" customWidth="1"/>
    <col min="3588" max="3588" width="0.6640625" customWidth="1"/>
    <col min="3589" max="3624" width="3.109375" customWidth="1"/>
    <col min="3625" max="3625" width="1.44140625" customWidth="1"/>
    <col min="3841" max="3841" width="1.44140625" customWidth="1"/>
    <col min="3842" max="3843" width="4.21875" customWidth="1"/>
    <col min="3844" max="3844" width="0.6640625" customWidth="1"/>
    <col min="3845" max="3880" width="3.109375" customWidth="1"/>
    <col min="3881" max="3881" width="1.44140625" customWidth="1"/>
    <col min="4097" max="4097" width="1.44140625" customWidth="1"/>
    <col min="4098" max="4099" width="4.21875" customWidth="1"/>
    <col min="4100" max="4100" width="0.6640625" customWidth="1"/>
    <col min="4101" max="4136" width="3.109375" customWidth="1"/>
    <col min="4137" max="4137" width="1.44140625" customWidth="1"/>
    <col min="4353" max="4353" width="1.44140625" customWidth="1"/>
    <col min="4354" max="4355" width="4.21875" customWidth="1"/>
    <col min="4356" max="4356" width="0.6640625" customWidth="1"/>
    <col min="4357" max="4392" width="3.109375" customWidth="1"/>
    <col min="4393" max="4393" width="1.44140625" customWidth="1"/>
    <col min="4609" max="4609" width="1.44140625" customWidth="1"/>
    <col min="4610" max="4611" width="4.21875" customWidth="1"/>
    <col min="4612" max="4612" width="0.6640625" customWidth="1"/>
    <col min="4613" max="4648" width="3.109375" customWidth="1"/>
    <col min="4649" max="4649" width="1.44140625" customWidth="1"/>
    <col min="4865" max="4865" width="1.44140625" customWidth="1"/>
    <col min="4866" max="4867" width="4.21875" customWidth="1"/>
    <col min="4868" max="4868" width="0.6640625" customWidth="1"/>
    <col min="4869" max="4904" width="3.109375" customWidth="1"/>
    <col min="4905" max="4905" width="1.44140625" customWidth="1"/>
    <col min="5121" max="5121" width="1.44140625" customWidth="1"/>
    <col min="5122" max="5123" width="4.21875" customWidth="1"/>
    <col min="5124" max="5124" width="0.6640625" customWidth="1"/>
    <col min="5125" max="5160" width="3.109375" customWidth="1"/>
    <col min="5161" max="5161" width="1.44140625" customWidth="1"/>
    <col min="5377" max="5377" width="1.44140625" customWidth="1"/>
    <col min="5378" max="5379" width="4.21875" customWidth="1"/>
    <col min="5380" max="5380" width="0.6640625" customWidth="1"/>
    <col min="5381" max="5416" width="3.109375" customWidth="1"/>
    <col min="5417" max="5417" width="1.44140625" customWidth="1"/>
    <col min="5633" max="5633" width="1.44140625" customWidth="1"/>
    <col min="5634" max="5635" width="4.21875" customWidth="1"/>
    <col min="5636" max="5636" width="0.6640625" customWidth="1"/>
    <col min="5637" max="5672" width="3.109375" customWidth="1"/>
    <col min="5673" max="5673" width="1.44140625" customWidth="1"/>
    <col min="5889" max="5889" width="1.44140625" customWidth="1"/>
    <col min="5890" max="5891" width="4.21875" customWidth="1"/>
    <col min="5892" max="5892" width="0.6640625" customWidth="1"/>
    <col min="5893" max="5928" width="3.109375" customWidth="1"/>
    <col min="5929" max="5929" width="1.44140625" customWidth="1"/>
    <col min="6145" max="6145" width="1.44140625" customWidth="1"/>
    <col min="6146" max="6147" width="4.21875" customWidth="1"/>
    <col min="6148" max="6148" width="0.6640625" customWidth="1"/>
    <col min="6149" max="6184" width="3.109375" customWidth="1"/>
    <col min="6185" max="6185" width="1.44140625" customWidth="1"/>
    <col min="6401" max="6401" width="1.44140625" customWidth="1"/>
    <col min="6402" max="6403" width="4.21875" customWidth="1"/>
    <col min="6404" max="6404" width="0.6640625" customWidth="1"/>
    <col min="6405" max="6440" width="3.109375" customWidth="1"/>
    <col min="6441" max="6441" width="1.44140625" customWidth="1"/>
    <col min="6657" max="6657" width="1.44140625" customWidth="1"/>
    <col min="6658" max="6659" width="4.21875" customWidth="1"/>
    <col min="6660" max="6660" width="0.6640625" customWidth="1"/>
    <col min="6661" max="6696" width="3.109375" customWidth="1"/>
    <col min="6697" max="6697" width="1.44140625" customWidth="1"/>
    <col min="6913" max="6913" width="1.44140625" customWidth="1"/>
    <col min="6914" max="6915" width="4.21875" customWidth="1"/>
    <col min="6916" max="6916" width="0.6640625" customWidth="1"/>
    <col min="6917" max="6952" width="3.109375" customWidth="1"/>
    <col min="6953" max="6953" width="1.44140625" customWidth="1"/>
    <col min="7169" max="7169" width="1.44140625" customWidth="1"/>
    <col min="7170" max="7171" width="4.21875" customWidth="1"/>
    <col min="7172" max="7172" width="0.6640625" customWidth="1"/>
    <col min="7173" max="7208" width="3.109375" customWidth="1"/>
    <col min="7209" max="7209" width="1.44140625" customWidth="1"/>
    <col min="7425" max="7425" width="1.44140625" customWidth="1"/>
    <col min="7426" max="7427" width="4.21875" customWidth="1"/>
    <col min="7428" max="7428" width="0.6640625" customWidth="1"/>
    <col min="7429" max="7464" width="3.109375" customWidth="1"/>
    <col min="7465" max="7465" width="1.44140625" customWidth="1"/>
    <col min="7681" max="7681" width="1.44140625" customWidth="1"/>
    <col min="7682" max="7683" width="4.21875" customWidth="1"/>
    <col min="7684" max="7684" width="0.6640625" customWidth="1"/>
    <col min="7685" max="7720" width="3.109375" customWidth="1"/>
    <col min="7721" max="7721" width="1.44140625" customWidth="1"/>
    <col min="7937" max="7937" width="1.44140625" customWidth="1"/>
    <col min="7938" max="7939" width="4.21875" customWidth="1"/>
    <col min="7940" max="7940" width="0.6640625" customWidth="1"/>
    <col min="7941" max="7976" width="3.109375" customWidth="1"/>
    <col min="7977" max="7977" width="1.44140625" customWidth="1"/>
    <col min="8193" max="8193" width="1.44140625" customWidth="1"/>
    <col min="8194" max="8195" width="4.21875" customWidth="1"/>
    <col min="8196" max="8196" width="0.6640625" customWidth="1"/>
    <col min="8197" max="8232" width="3.109375" customWidth="1"/>
    <col min="8233" max="8233" width="1.44140625" customWidth="1"/>
    <col min="8449" max="8449" width="1.44140625" customWidth="1"/>
    <col min="8450" max="8451" width="4.21875" customWidth="1"/>
    <col min="8452" max="8452" width="0.6640625" customWidth="1"/>
    <col min="8453" max="8488" width="3.109375" customWidth="1"/>
    <col min="8489" max="8489" width="1.44140625" customWidth="1"/>
    <col min="8705" max="8705" width="1.44140625" customWidth="1"/>
    <col min="8706" max="8707" width="4.21875" customWidth="1"/>
    <col min="8708" max="8708" width="0.6640625" customWidth="1"/>
    <col min="8709" max="8744" width="3.109375" customWidth="1"/>
    <col min="8745" max="8745" width="1.44140625" customWidth="1"/>
    <col min="8961" max="8961" width="1.44140625" customWidth="1"/>
    <col min="8962" max="8963" width="4.21875" customWidth="1"/>
    <col min="8964" max="8964" width="0.6640625" customWidth="1"/>
    <col min="8965" max="9000" width="3.109375" customWidth="1"/>
    <col min="9001" max="9001" width="1.44140625" customWidth="1"/>
    <col min="9217" max="9217" width="1.44140625" customWidth="1"/>
    <col min="9218" max="9219" width="4.21875" customWidth="1"/>
    <col min="9220" max="9220" width="0.6640625" customWidth="1"/>
    <col min="9221" max="9256" width="3.109375" customWidth="1"/>
    <col min="9257" max="9257" width="1.44140625" customWidth="1"/>
    <col min="9473" max="9473" width="1.44140625" customWidth="1"/>
    <col min="9474" max="9475" width="4.21875" customWidth="1"/>
    <col min="9476" max="9476" width="0.6640625" customWidth="1"/>
    <col min="9477" max="9512" width="3.109375" customWidth="1"/>
    <col min="9513" max="9513" width="1.44140625" customWidth="1"/>
    <col min="9729" max="9729" width="1.44140625" customWidth="1"/>
    <col min="9730" max="9731" width="4.21875" customWidth="1"/>
    <col min="9732" max="9732" width="0.6640625" customWidth="1"/>
    <col min="9733" max="9768" width="3.109375" customWidth="1"/>
    <col min="9769" max="9769" width="1.44140625" customWidth="1"/>
    <col min="9985" max="9985" width="1.44140625" customWidth="1"/>
    <col min="9986" max="9987" width="4.21875" customWidth="1"/>
    <col min="9988" max="9988" width="0.6640625" customWidth="1"/>
    <col min="9989" max="10024" width="3.109375" customWidth="1"/>
    <col min="10025" max="10025" width="1.44140625" customWidth="1"/>
    <col min="10241" max="10241" width="1.44140625" customWidth="1"/>
    <col min="10242" max="10243" width="4.21875" customWidth="1"/>
    <col min="10244" max="10244" width="0.6640625" customWidth="1"/>
    <col min="10245" max="10280" width="3.109375" customWidth="1"/>
    <col min="10281" max="10281" width="1.44140625" customWidth="1"/>
    <col min="10497" max="10497" width="1.44140625" customWidth="1"/>
    <col min="10498" max="10499" width="4.21875" customWidth="1"/>
    <col min="10500" max="10500" width="0.6640625" customWidth="1"/>
    <col min="10501" max="10536" width="3.109375" customWidth="1"/>
    <col min="10537" max="10537" width="1.44140625" customWidth="1"/>
    <col min="10753" max="10753" width="1.44140625" customWidth="1"/>
    <col min="10754" max="10755" width="4.21875" customWidth="1"/>
    <col min="10756" max="10756" width="0.6640625" customWidth="1"/>
    <col min="10757" max="10792" width="3.109375" customWidth="1"/>
    <col min="10793" max="10793" width="1.44140625" customWidth="1"/>
    <col min="11009" max="11009" width="1.44140625" customWidth="1"/>
    <col min="11010" max="11011" width="4.21875" customWidth="1"/>
    <col min="11012" max="11012" width="0.6640625" customWidth="1"/>
    <col min="11013" max="11048" width="3.109375" customWidth="1"/>
    <col min="11049" max="11049" width="1.44140625" customWidth="1"/>
    <col min="11265" max="11265" width="1.44140625" customWidth="1"/>
    <col min="11266" max="11267" width="4.21875" customWidth="1"/>
    <col min="11268" max="11268" width="0.6640625" customWidth="1"/>
    <col min="11269" max="11304" width="3.109375" customWidth="1"/>
    <col min="11305" max="11305" width="1.44140625" customWidth="1"/>
    <col min="11521" max="11521" width="1.44140625" customWidth="1"/>
    <col min="11522" max="11523" width="4.21875" customWidth="1"/>
    <col min="11524" max="11524" width="0.6640625" customWidth="1"/>
    <col min="11525" max="11560" width="3.109375" customWidth="1"/>
    <col min="11561" max="11561" width="1.44140625" customWidth="1"/>
    <col min="11777" max="11777" width="1.44140625" customWidth="1"/>
    <col min="11778" max="11779" width="4.21875" customWidth="1"/>
    <col min="11780" max="11780" width="0.6640625" customWidth="1"/>
    <col min="11781" max="11816" width="3.109375" customWidth="1"/>
    <col min="11817" max="11817" width="1.44140625" customWidth="1"/>
    <col min="12033" max="12033" width="1.44140625" customWidth="1"/>
    <col min="12034" max="12035" width="4.21875" customWidth="1"/>
    <col min="12036" max="12036" width="0.6640625" customWidth="1"/>
    <col min="12037" max="12072" width="3.109375" customWidth="1"/>
    <col min="12073" max="12073" width="1.44140625" customWidth="1"/>
    <col min="12289" max="12289" width="1.44140625" customWidth="1"/>
    <col min="12290" max="12291" width="4.21875" customWidth="1"/>
    <col min="12292" max="12292" width="0.6640625" customWidth="1"/>
    <col min="12293" max="12328" width="3.109375" customWidth="1"/>
    <col min="12329" max="12329" width="1.44140625" customWidth="1"/>
    <col min="12545" max="12545" width="1.44140625" customWidth="1"/>
    <col min="12546" max="12547" width="4.21875" customWidth="1"/>
    <col min="12548" max="12548" width="0.6640625" customWidth="1"/>
    <col min="12549" max="12584" width="3.109375" customWidth="1"/>
    <col min="12585" max="12585" width="1.44140625" customWidth="1"/>
    <col min="12801" max="12801" width="1.44140625" customWidth="1"/>
    <col min="12802" max="12803" width="4.21875" customWidth="1"/>
    <col min="12804" max="12804" width="0.6640625" customWidth="1"/>
    <col min="12805" max="12840" width="3.109375" customWidth="1"/>
    <col min="12841" max="12841" width="1.44140625" customWidth="1"/>
    <col min="13057" max="13057" width="1.44140625" customWidth="1"/>
    <col min="13058" max="13059" width="4.21875" customWidth="1"/>
    <col min="13060" max="13060" width="0.6640625" customWidth="1"/>
    <col min="13061" max="13096" width="3.109375" customWidth="1"/>
    <col min="13097" max="13097" width="1.44140625" customWidth="1"/>
    <col min="13313" max="13313" width="1.44140625" customWidth="1"/>
    <col min="13314" max="13315" width="4.21875" customWidth="1"/>
    <col min="13316" max="13316" width="0.6640625" customWidth="1"/>
    <col min="13317" max="13352" width="3.109375" customWidth="1"/>
    <col min="13353" max="13353" width="1.44140625" customWidth="1"/>
    <col min="13569" max="13569" width="1.44140625" customWidth="1"/>
    <col min="13570" max="13571" width="4.21875" customWidth="1"/>
    <col min="13572" max="13572" width="0.6640625" customWidth="1"/>
    <col min="13573" max="13608" width="3.109375" customWidth="1"/>
    <col min="13609" max="13609" width="1.44140625" customWidth="1"/>
    <col min="13825" max="13825" width="1.44140625" customWidth="1"/>
    <col min="13826" max="13827" width="4.21875" customWidth="1"/>
    <col min="13828" max="13828" width="0.6640625" customWidth="1"/>
    <col min="13829" max="13864" width="3.109375" customWidth="1"/>
    <col min="13865" max="13865" width="1.44140625" customWidth="1"/>
    <col min="14081" max="14081" width="1.44140625" customWidth="1"/>
    <col min="14082" max="14083" width="4.21875" customWidth="1"/>
    <col min="14084" max="14084" width="0.6640625" customWidth="1"/>
    <col min="14085" max="14120" width="3.109375" customWidth="1"/>
    <col min="14121" max="14121" width="1.44140625" customWidth="1"/>
    <col min="14337" max="14337" width="1.44140625" customWidth="1"/>
    <col min="14338" max="14339" width="4.21875" customWidth="1"/>
    <col min="14340" max="14340" width="0.6640625" customWidth="1"/>
    <col min="14341" max="14376" width="3.109375" customWidth="1"/>
    <col min="14377" max="14377" width="1.44140625" customWidth="1"/>
    <col min="14593" max="14593" width="1.44140625" customWidth="1"/>
    <col min="14594" max="14595" width="4.21875" customWidth="1"/>
    <col min="14596" max="14596" width="0.6640625" customWidth="1"/>
    <col min="14597" max="14632" width="3.109375" customWidth="1"/>
    <col min="14633" max="14633" width="1.44140625" customWidth="1"/>
    <col min="14849" max="14849" width="1.44140625" customWidth="1"/>
    <col min="14850" max="14851" width="4.21875" customWidth="1"/>
    <col min="14852" max="14852" width="0.6640625" customWidth="1"/>
    <col min="14853" max="14888" width="3.109375" customWidth="1"/>
    <col min="14889" max="14889" width="1.44140625" customWidth="1"/>
    <col min="15105" max="15105" width="1.44140625" customWidth="1"/>
    <col min="15106" max="15107" width="4.21875" customWidth="1"/>
    <col min="15108" max="15108" width="0.6640625" customWidth="1"/>
    <col min="15109" max="15144" width="3.109375" customWidth="1"/>
    <col min="15145" max="15145" width="1.44140625" customWidth="1"/>
    <col min="15361" max="15361" width="1.44140625" customWidth="1"/>
    <col min="15362" max="15363" width="4.21875" customWidth="1"/>
    <col min="15364" max="15364" width="0.6640625" customWidth="1"/>
    <col min="15365" max="15400" width="3.109375" customWidth="1"/>
    <col min="15401" max="15401" width="1.44140625" customWidth="1"/>
    <col min="15617" max="15617" width="1.44140625" customWidth="1"/>
    <col min="15618" max="15619" width="4.21875" customWidth="1"/>
    <col min="15620" max="15620" width="0.6640625" customWidth="1"/>
    <col min="15621" max="15656" width="3.109375" customWidth="1"/>
    <col min="15657" max="15657" width="1.44140625" customWidth="1"/>
    <col min="15873" max="15873" width="1.44140625" customWidth="1"/>
    <col min="15874" max="15875" width="4.21875" customWidth="1"/>
    <col min="15876" max="15876" width="0.6640625" customWidth="1"/>
    <col min="15877" max="15912" width="3.109375" customWidth="1"/>
    <col min="15913" max="15913" width="1.44140625" customWidth="1"/>
    <col min="16129" max="16129" width="1.44140625" customWidth="1"/>
    <col min="16130" max="16131" width="4.21875" customWidth="1"/>
    <col min="16132" max="16132" width="0.6640625" customWidth="1"/>
    <col min="16133" max="16168" width="3.109375" customWidth="1"/>
    <col min="16169" max="16169" width="1.44140625" customWidth="1"/>
  </cols>
  <sheetData>
    <row r="2" spans="2:40">
      <c r="B2" t="s">
        <v>799</v>
      </c>
    </row>
    <row r="3" spans="2:40" ht="14.25" customHeight="1">
      <c r="AB3" s="901" t="s">
        <v>82</v>
      </c>
      <c r="AC3" s="902"/>
      <c r="AD3" s="902"/>
      <c r="AE3" s="902"/>
      <c r="AF3" s="903"/>
      <c r="AG3" s="904"/>
      <c r="AH3" s="905"/>
      <c r="AI3" s="905"/>
      <c r="AJ3" s="905"/>
      <c r="AK3" s="905"/>
      <c r="AL3" s="905"/>
      <c r="AM3" s="905"/>
      <c r="AN3" s="906"/>
    </row>
    <row r="5" spans="2:40">
      <c r="B5" s="899" t="s">
        <v>435</v>
      </c>
      <c r="C5" s="899"/>
      <c r="D5" s="899"/>
      <c r="E5" s="899"/>
      <c r="F5" s="899"/>
      <c r="G5" s="899"/>
      <c r="H5" s="899"/>
      <c r="I5" s="899"/>
      <c r="J5" s="899"/>
      <c r="K5" s="899"/>
      <c r="L5" s="899"/>
      <c r="M5" s="899"/>
      <c r="N5" s="899"/>
      <c r="O5" s="899"/>
      <c r="P5" s="899"/>
      <c r="Q5" s="899"/>
      <c r="R5" s="899"/>
      <c r="S5" s="899"/>
      <c r="T5" s="899"/>
      <c r="U5" s="899"/>
      <c r="V5" s="899"/>
      <c r="W5" s="899"/>
      <c r="X5" s="899"/>
      <c r="Y5" s="899"/>
      <c r="Z5" s="899"/>
      <c r="AA5" s="899"/>
      <c r="AB5" s="899"/>
      <c r="AC5" s="899"/>
      <c r="AD5" s="899"/>
      <c r="AE5" s="899"/>
      <c r="AF5" s="899"/>
      <c r="AG5" s="899"/>
      <c r="AH5" s="899"/>
      <c r="AI5" s="899"/>
      <c r="AJ5" s="899"/>
      <c r="AK5" s="899"/>
      <c r="AL5" s="899"/>
      <c r="AM5" s="899"/>
      <c r="AN5" s="899"/>
    </row>
    <row r="6" spans="2:40" ht="13.5" customHeight="1">
      <c r="AE6" s="344" t="s">
        <v>313</v>
      </c>
      <c r="AF6" s="899"/>
      <c r="AG6" s="899"/>
      <c r="AH6" t="s">
        <v>34</v>
      </c>
      <c r="AI6" s="899"/>
      <c r="AJ6" s="899"/>
      <c r="AK6" t="s">
        <v>261</v>
      </c>
      <c r="AL6" s="899"/>
      <c r="AM6" s="899"/>
      <c r="AN6" t="s">
        <v>29</v>
      </c>
    </row>
    <row r="7" spans="2:40">
      <c r="B7" s="899"/>
      <c r="C7" s="899"/>
      <c r="D7" s="899"/>
      <c r="E7" s="899"/>
      <c r="F7" s="899"/>
      <c r="G7" s="899"/>
      <c r="H7" s="899" t="s">
        <v>800</v>
      </c>
      <c r="I7" s="899"/>
      <c r="J7" s="899"/>
      <c r="K7" t="s">
        <v>801</v>
      </c>
    </row>
    <row r="8" spans="2:40">
      <c r="V8" s="900" t="s">
        <v>802</v>
      </c>
      <c r="W8" s="900"/>
      <c r="X8" s="900"/>
      <c r="Y8" s="900"/>
      <c r="Z8" s="900"/>
      <c r="AA8" s="900"/>
      <c r="AB8" s="900"/>
      <c r="AC8" s="900"/>
      <c r="AD8" s="900"/>
      <c r="AE8" s="900"/>
      <c r="AF8" s="900"/>
      <c r="AG8" s="900"/>
      <c r="AH8" s="900"/>
      <c r="AI8" s="900"/>
      <c r="AJ8" s="900"/>
      <c r="AK8" s="900"/>
      <c r="AL8" s="900"/>
      <c r="AM8" s="900"/>
      <c r="AN8" s="900"/>
    </row>
    <row r="9" spans="2:40">
      <c r="Y9" s="899"/>
      <c r="Z9" s="899"/>
      <c r="AA9" s="899"/>
      <c r="AB9" s="899"/>
      <c r="AC9" s="899"/>
      <c r="AD9" s="899"/>
      <c r="AE9" s="899"/>
      <c r="AF9" s="899"/>
      <c r="AG9" s="899"/>
      <c r="AH9" s="899"/>
      <c r="AI9" s="899"/>
      <c r="AJ9" s="899"/>
      <c r="AK9" s="899"/>
      <c r="AL9" s="899"/>
      <c r="AM9" s="899"/>
      <c r="AN9" s="899"/>
    </row>
    <row r="10" spans="2:40">
      <c r="V10" s="899" t="s">
        <v>240</v>
      </c>
      <c r="W10" s="899"/>
      <c r="X10" s="899"/>
      <c r="Y10" s="899"/>
      <c r="Z10" s="899"/>
      <c r="AA10" s="899"/>
      <c r="AB10" s="899"/>
      <c r="AC10" s="899"/>
      <c r="AD10" s="899"/>
      <c r="AE10" s="899"/>
      <c r="AF10" s="899"/>
      <c r="AG10" s="899"/>
      <c r="AH10" s="899"/>
      <c r="AI10" s="899"/>
      <c r="AJ10" s="899"/>
      <c r="AK10" s="899"/>
      <c r="AL10" s="899"/>
      <c r="AM10" s="899"/>
      <c r="AN10" s="899"/>
    </row>
    <row r="11" spans="2:40">
      <c r="Y11" s="899"/>
      <c r="Z11" s="899"/>
      <c r="AA11" s="899"/>
      <c r="AB11" s="899"/>
      <c r="AC11" s="899"/>
      <c r="AD11" s="899"/>
      <c r="AE11" s="899"/>
      <c r="AF11" s="899"/>
      <c r="AG11" s="899"/>
      <c r="AH11" s="899"/>
      <c r="AI11" s="899"/>
      <c r="AJ11" s="899"/>
      <c r="AK11" s="899"/>
      <c r="AL11" s="899"/>
      <c r="AM11" s="899"/>
      <c r="AN11" s="899"/>
    </row>
    <row r="12" spans="2:40">
      <c r="C12" t="s">
        <v>242</v>
      </c>
    </row>
    <row r="13" spans="2:40">
      <c r="N13" s="907"/>
      <c r="O13" s="907"/>
      <c r="AB13" s="901" t="s">
        <v>803</v>
      </c>
      <c r="AC13" s="902"/>
      <c r="AD13" s="902"/>
      <c r="AE13" s="902"/>
      <c r="AF13" s="902"/>
      <c r="AG13" s="902"/>
      <c r="AH13" s="902"/>
      <c r="AI13" s="903"/>
      <c r="AJ13" s="908"/>
      <c r="AK13" s="909"/>
      <c r="AL13" s="909"/>
      <c r="AM13" s="909"/>
      <c r="AN13" s="910"/>
    </row>
    <row r="14" spans="2:40" ht="14.25" customHeight="1">
      <c r="B14" s="911" t="s">
        <v>84</v>
      </c>
      <c r="C14" s="914" t="s">
        <v>7</v>
      </c>
      <c r="D14" s="915"/>
      <c r="E14" s="915"/>
      <c r="F14" s="915"/>
      <c r="G14" s="915"/>
      <c r="H14" s="915"/>
      <c r="I14" s="915"/>
      <c r="J14" s="915"/>
      <c r="K14" s="915"/>
      <c r="L14" s="916"/>
      <c r="M14" s="917"/>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9"/>
    </row>
    <row r="15" spans="2:40" ht="14.25" customHeight="1">
      <c r="B15" s="912"/>
      <c r="C15" s="920" t="s">
        <v>85</v>
      </c>
      <c r="D15" s="921"/>
      <c r="E15" s="921"/>
      <c r="F15" s="921"/>
      <c r="G15" s="921"/>
      <c r="H15" s="921"/>
      <c r="I15" s="921"/>
      <c r="J15" s="921"/>
      <c r="K15" s="921"/>
      <c r="L15" s="921"/>
      <c r="M15" s="922"/>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4"/>
    </row>
    <row r="16" spans="2:40" ht="13.5" customHeight="1">
      <c r="B16" s="912"/>
      <c r="C16" s="914" t="s">
        <v>804</v>
      </c>
      <c r="D16" s="915"/>
      <c r="E16" s="915"/>
      <c r="F16" s="915"/>
      <c r="G16" s="915"/>
      <c r="H16" s="915"/>
      <c r="I16" s="915"/>
      <c r="J16" s="915"/>
      <c r="K16" s="915"/>
      <c r="L16" s="925"/>
      <c r="M16" s="908" t="s">
        <v>259</v>
      </c>
      <c r="N16" s="909"/>
      <c r="O16" s="909"/>
      <c r="P16" s="909"/>
      <c r="Q16" s="909"/>
      <c r="R16" s="909"/>
      <c r="S16" s="909"/>
      <c r="T16" t="s">
        <v>260</v>
      </c>
      <c r="U16" s="909"/>
      <c r="V16" s="909"/>
      <c r="W16" s="909"/>
      <c r="X16" t="s">
        <v>198</v>
      </c>
      <c r="Y16" s="915"/>
      <c r="Z16" s="915"/>
      <c r="AA16" s="915"/>
      <c r="AB16" s="915"/>
      <c r="AC16" s="915"/>
      <c r="AD16" s="915"/>
      <c r="AE16" s="915"/>
      <c r="AF16" s="915"/>
      <c r="AG16" s="915"/>
      <c r="AH16" s="915"/>
      <c r="AI16" s="915"/>
      <c r="AJ16" s="915"/>
      <c r="AK16" s="915"/>
      <c r="AL16" s="915"/>
      <c r="AM16" s="915"/>
      <c r="AN16" s="925"/>
    </row>
    <row r="17" spans="2:40" ht="13.5" customHeight="1">
      <c r="B17" s="912"/>
      <c r="C17" s="920"/>
      <c r="D17" s="921"/>
      <c r="E17" s="921"/>
      <c r="F17" s="921"/>
      <c r="G17" s="921"/>
      <c r="H17" s="921"/>
      <c r="I17" s="921"/>
      <c r="J17" s="921"/>
      <c r="K17" s="921"/>
      <c r="L17" s="926"/>
      <c r="M17" s="936" t="s">
        <v>805</v>
      </c>
      <c r="N17" s="937"/>
      <c r="O17" s="937"/>
      <c r="P17" s="937"/>
      <c r="Q17" t="s">
        <v>806</v>
      </c>
      <c r="R17" s="937"/>
      <c r="S17" s="937"/>
      <c r="T17" s="937"/>
      <c r="U17" s="937"/>
      <c r="V17" s="937" t="s">
        <v>807</v>
      </c>
      <c r="W17" s="937"/>
      <c r="X17" s="938"/>
      <c r="Y17" s="938"/>
      <c r="Z17" s="938"/>
      <c r="AA17" s="938"/>
      <c r="AB17" s="938"/>
      <c r="AC17" s="938"/>
      <c r="AD17" s="938"/>
      <c r="AE17" s="938"/>
      <c r="AF17" s="938"/>
      <c r="AG17" s="938"/>
      <c r="AH17" s="938"/>
      <c r="AI17" s="938"/>
      <c r="AJ17" s="938"/>
      <c r="AK17" s="938"/>
      <c r="AL17" s="938"/>
      <c r="AM17" s="938"/>
      <c r="AN17" s="939"/>
    </row>
    <row r="18" spans="2:40" ht="13.5" customHeight="1">
      <c r="B18" s="912"/>
      <c r="C18" s="927"/>
      <c r="D18" s="928"/>
      <c r="E18" s="928"/>
      <c r="F18" s="928"/>
      <c r="G18" s="928"/>
      <c r="H18" s="928"/>
      <c r="I18" s="928"/>
      <c r="J18" s="928"/>
      <c r="K18" s="928"/>
      <c r="L18" s="929"/>
      <c r="M18" s="930" t="s">
        <v>88</v>
      </c>
      <c r="N18" s="931"/>
      <c r="O18" s="931"/>
      <c r="P18" s="931"/>
      <c r="Q18" s="931"/>
      <c r="R18" s="931"/>
      <c r="S18" s="931"/>
      <c r="T18" s="931"/>
      <c r="U18" s="931"/>
      <c r="V18" s="931"/>
      <c r="W18" s="931"/>
      <c r="X18" s="931"/>
      <c r="Y18" s="931"/>
      <c r="Z18" s="931"/>
      <c r="AA18" s="931"/>
      <c r="AB18" s="931"/>
      <c r="AC18" s="931"/>
      <c r="AD18" s="931"/>
      <c r="AE18" s="931"/>
      <c r="AF18" s="931"/>
      <c r="AG18" s="931"/>
      <c r="AH18" s="931"/>
      <c r="AI18" s="931"/>
      <c r="AJ18" s="931"/>
      <c r="AK18" s="931"/>
      <c r="AL18" s="931"/>
      <c r="AM18" s="931"/>
      <c r="AN18" s="932"/>
    </row>
    <row r="19" spans="2:40" ht="14.25" customHeight="1">
      <c r="B19" s="912"/>
      <c r="C19" s="933" t="s">
        <v>89</v>
      </c>
      <c r="D19" s="934"/>
      <c r="E19" s="934"/>
      <c r="F19" s="934"/>
      <c r="G19" s="934"/>
      <c r="H19" s="934"/>
      <c r="I19" s="934"/>
      <c r="J19" s="934"/>
      <c r="K19" s="934"/>
      <c r="L19" s="935"/>
      <c r="M19" s="901" t="s">
        <v>9</v>
      </c>
      <c r="N19" s="902"/>
      <c r="O19" s="902"/>
      <c r="P19" s="902"/>
      <c r="Q19" s="903"/>
      <c r="R19" s="904"/>
      <c r="S19" s="905"/>
      <c r="T19" s="905"/>
      <c r="U19" s="905"/>
      <c r="V19" s="905"/>
      <c r="W19" s="905"/>
      <c r="X19" s="905"/>
      <c r="Y19" s="905"/>
      <c r="Z19" s="905"/>
      <c r="AA19" s="906"/>
      <c r="AB19" s="908" t="s">
        <v>10</v>
      </c>
      <c r="AC19" s="909"/>
      <c r="AD19" s="909"/>
      <c r="AE19" s="909"/>
      <c r="AF19" s="910"/>
      <c r="AG19" s="904"/>
      <c r="AH19" s="905"/>
      <c r="AI19" s="905"/>
      <c r="AJ19" s="905"/>
      <c r="AK19" s="905"/>
      <c r="AL19" s="905"/>
      <c r="AM19" s="905"/>
      <c r="AN19" s="906"/>
    </row>
    <row r="20" spans="2:40" ht="14.25" customHeight="1">
      <c r="B20" s="912"/>
      <c r="C20" s="940" t="s">
        <v>808</v>
      </c>
      <c r="D20" s="940"/>
      <c r="E20" s="940"/>
      <c r="F20" s="940"/>
      <c r="G20" s="940"/>
      <c r="H20" s="940"/>
      <c r="I20" s="940"/>
      <c r="J20" s="940"/>
      <c r="K20" s="940"/>
      <c r="L20" s="940"/>
      <c r="M20" s="941"/>
      <c r="N20" s="942"/>
      <c r="O20" s="942"/>
      <c r="P20" s="942"/>
      <c r="Q20" s="942"/>
      <c r="R20" s="942"/>
      <c r="S20" s="942"/>
      <c r="T20" s="942"/>
      <c r="U20" s="943"/>
      <c r="V20" s="941" t="s">
        <v>11</v>
      </c>
      <c r="W20" s="942"/>
      <c r="X20" s="942"/>
      <c r="Y20" s="942"/>
      <c r="Z20" s="942"/>
      <c r="AA20" s="943"/>
      <c r="AB20" s="941"/>
      <c r="AC20" s="942"/>
      <c r="AD20" s="942"/>
      <c r="AE20" s="942"/>
      <c r="AF20" s="942"/>
      <c r="AG20" s="942"/>
      <c r="AH20" s="942"/>
      <c r="AI20" s="942"/>
      <c r="AJ20" s="942"/>
      <c r="AK20" s="942"/>
      <c r="AL20" s="942"/>
      <c r="AM20" s="942"/>
      <c r="AN20" s="943"/>
    </row>
    <row r="21" spans="2:40" ht="14.25" customHeight="1">
      <c r="B21" s="912"/>
      <c r="C21" s="940" t="s">
        <v>241</v>
      </c>
      <c r="D21" s="940"/>
      <c r="E21" s="940"/>
      <c r="F21" s="940"/>
      <c r="G21" s="940"/>
      <c r="H21" s="940"/>
      <c r="I21" s="940"/>
      <c r="J21" s="944"/>
      <c r="K21" s="944"/>
      <c r="L21" s="945"/>
      <c r="M21" s="941" t="s">
        <v>13</v>
      </c>
      <c r="N21" s="942"/>
      <c r="O21" s="942"/>
      <c r="P21" s="942"/>
      <c r="Q21" s="943"/>
      <c r="R21" s="946"/>
      <c r="S21" s="947"/>
      <c r="T21" s="947"/>
      <c r="U21" s="947"/>
      <c r="V21" s="947"/>
      <c r="W21" s="947"/>
      <c r="X21" s="947"/>
      <c r="Y21" s="947"/>
      <c r="Z21" s="947"/>
      <c r="AA21" s="948"/>
      <c r="AB21" s="942" t="s">
        <v>14</v>
      </c>
      <c r="AC21" s="942"/>
      <c r="AD21" s="942"/>
      <c r="AE21" s="942"/>
      <c r="AF21" s="943"/>
      <c r="AG21" s="946"/>
      <c r="AH21" s="947"/>
      <c r="AI21" s="947"/>
      <c r="AJ21" s="947"/>
      <c r="AK21" s="947"/>
      <c r="AL21" s="947"/>
      <c r="AM21" s="947"/>
      <c r="AN21" s="948"/>
    </row>
    <row r="22" spans="2:40" ht="13.5" customHeight="1">
      <c r="B22" s="912"/>
      <c r="C22" s="949" t="s">
        <v>15</v>
      </c>
      <c r="D22" s="949"/>
      <c r="E22" s="949"/>
      <c r="F22" s="949"/>
      <c r="G22" s="949"/>
      <c r="H22" s="949"/>
      <c r="I22" s="949"/>
      <c r="J22" s="950"/>
      <c r="K22" s="950"/>
      <c r="L22" s="950"/>
      <c r="M22" s="908" t="s">
        <v>259</v>
      </c>
      <c r="N22" s="909"/>
      <c r="O22" s="909"/>
      <c r="P22" s="909"/>
      <c r="Q22" s="909"/>
      <c r="R22" s="909"/>
      <c r="S22" s="909"/>
      <c r="T22" t="s">
        <v>260</v>
      </c>
      <c r="U22" s="909"/>
      <c r="V22" s="909"/>
      <c r="W22" s="909"/>
      <c r="X22" t="s">
        <v>198</v>
      </c>
      <c r="Y22" s="915"/>
      <c r="Z22" s="915"/>
      <c r="AA22" s="915"/>
      <c r="AB22" s="915"/>
      <c r="AC22" s="915"/>
      <c r="AD22" s="915"/>
      <c r="AE22" s="915"/>
      <c r="AF22" s="915"/>
      <c r="AG22" s="915"/>
      <c r="AH22" s="915"/>
      <c r="AI22" s="915"/>
      <c r="AJ22" s="915"/>
      <c r="AK22" s="915"/>
      <c r="AL22" s="915"/>
      <c r="AM22" s="915"/>
      <c r="AN22" s="925"/>
    </row>
    <row r="23" spans="2:40" ht="14.25" customHeight="1">
      <c r="B23" s="912"/>
      <c r="C23" s="949"/>
      <c r="D23" s="949"/>
      <c r="E23" s="949"/>
      <c r="F23" s="949"/>
      <c r="G23" s="949"/>
      <c r="H23" s="949"/>
      <c r="I23" s="949"/>
      <c r="J23" s="950"/>
      <c r="K23" s="950"/>
      <c r="L23" s="950"/>
      <c r="M23" s="936" t="s">
        <v>805</v>
      </c>
      <c r="N23" s="937"/>
      <c r="O23" s="937"/>
      <c r="P23" s="937"/>
      <c r="Q23" t="s">
        <v>806</v>
      </c>
      <c r="R23" s="937"/>
      <c r="S23" s="937"/>
      <c r="T23" s="937"/>
      <c r="U23" s="937"/>
      <c r="V23" s="937" t="s">
        <v>807</v>
      </c>
      <c r="W23" s="937"/>
      <c r="X23" s="938"/>
      <c r="Y23" s="938"/>
      <c r="Z23" s="938"/>
      <c r="AA23" s="938"/>
      <c r="AB23" s="938"/>
      <c r="AC23" s="938"/>
      <c r="AD23" s="938"/>
      <c r="AE23" s="938"/>
      <c r="AF23" s="938"/>
      <c r="AG23" s="938"/>
      <c r="AH23" s="938"/>
      <c r="AI23" s="938"/>
      <c r="AJ23" s="938"/>
      <c r="AK23" s="938"/>
      <c r="AL23" s="938"/>
      <c r="AM23" s="938"/>
      <c r="AN23" s="939"/>
    </row>
    <row r="24" spans="2:40">
      <c r="B24" s="913"/>
      <c r="C24" s="951"/>
      <c r="D24" s="951"/>
      <c r="E24" s="951"/>
      <c r="F24" s="951"/>
      <c r="G24" s="951"/>
      <c r="H24" s="951"/>
      <c r="I24" s="951"/>
      <c r="J24" s="952"/>
      <c r="K24" s="952"/>
      <c r="L24" s="952"/>
      <c r="M24" s="953"/>
      <c r="N24" s="954"/>
      <c r="O24" s="954"/>
      <c r="P24" s="954"/>
      <c r="Q24" s="954"/>
      <c r="R24" s="954"/>
      <c r="S24" s="954"/>
      <c r="T24" s="954"/>
      <c r="U24" s="954"/>
      <c r="V24" s="954"/>
      <c r="W24" s="954"/>
      <c r="X24" s="954"/>
      <c r="Y24" s="954"/>
      <c r="Z24" s="954"/>
      <c r="AA24" s="954"/>
      <c r="AB24" s="954"/>
      <c r="AC24" s="954"/>
      <c r="AD24" s="954"/>
      <c r="AE24" s="954"/>
      <c r="AF24" s="954"/>
      <c r="AG24" s="954"/>
      <c r="AH24" s="954"/>
      <c r="AI24" s="954"/>
      <c r="AJ24" s="954"/>
      <c r="AK24" s="954"/>
      <c r="AL24" s="954"/>
      <c r="AM24" s="954"/>
      <c r="AN24" s="955"/>
    </row>
    <row r="25" spans="2:40" ht="14.25" customHeight="1">
      <c r="B25" s="956" t="s">
        <v>809</v>
      </c>
      <c r="C25" s="914" t="s">
        <v>243</v>
      </c>
      <c r="D25" s="915"/>
      <c r="E25" s="915"/>
      <c r="F25" s="915"/>
      <c r="G25" s="915"/>
      <c r="H25" s="915"/>
      <c r="I25" s="915"/>
      <c r="J25" s="915"/>
      <c r="K25" s="915"/>
      <c r="L25" s="925"/>
      <c r="M25" s="959"/>
      <c r="N25" s="960"/>
      <c r="O25" s="960"/>
      <c r="P25" s="960"/>
      <c r="Q25" s="960"/>
      <c r="R25" s="960"/>
      <c r="S25" s="960"/>
      <c r="T25" s="960"/>
      <c r="U25" s="960"/>
      <c r="V25" s="960"/>
      <c r="W25" s="960"/>
      <c r="X25" s="960"/>
      <c r="Y25" s="960"/>
      <c r="Z25" s="960"/>
      <c r="AA25" s="960"/>
      <c r="AB25" s="960"/>
      <c r="AC25" s="960"/>
      <c r="AD25" s="960"/>
      <c r="AE25" s="960"/>
      <c r="AF25" s="960"/>
      <c r="AG25" s="960"/>
      <c r="AH25" s="960"/>
      <c r="AI25" s="960"/>
      <c r="AJ25" s="960"/>
      <c r="AK25" s="960"/>
      <c r="AL25" s="960"/>
      <c r="AM25" s="960"/>
      <c r="AN25" s="961"/>
    </row>
    <row r="26" spans="2:40" ht="14.25" customHeight="1">
      <c r="B26" s="957"/>
      <c r="C26" s="927" t="s">
        <v>810</v>
      </c>
      <c r="D26" s="928"/>
      <c r="E26" s="928"/>
      <c r="F26" s="928"/>
      <c r="G26" s="928"/>
      <c r="H26" s="928"/>
      <c r="I26" s="928"/>
      <c r="J26" s="928"/>
      <c r="K26" s="928"/>
      <c r="L26" s="929"/>
      <c r="M26" s="927"/>
      <c r="N26" s="928"/>
      <c r="O26" s="928"/>
      <c r="P26" s="928"/>
      <c r="Q26" s="928"/>
      <c r="R26" s="928"/>
      <c r="S26" s="928"/>
      <c r="T26" s="928"/>
      <c r="U26" s="928"/>
      <c r="V26" s="928"/>
      <c r="W26" s="928"/>
      <c r="X26" s="928"/>
      <c r="Y26" s="928"/>
      <c r="Z26" s="928"/>
      <c r="AA26" s="928"/>
      <c r="AB26" s="928"/>
      <c r="AC26" s="928"/>
      <c r="AD26" s="928"/>
      <c r="AE26" s="928"/>
      <c r="AF26" s="928"/>
      <c r="AG26" s="928"/>
      <c r="AH26" s="928"/>
      <c r="AI26" s="928"/>
      <c r="AJ26" s="928"/>
      <c r="AK26" s="928"/>
      <c r="AL26" s="928"/>
      <c r="AM26" s="928"/>
      <c r="AN26" s="929"/>
    </row>
    <row r="27" spans="2:40" ht="13.5" customHeight="1">
      <c r="B27" s="957"/>
      <c r="C27" s="949" t="s">
        <v>811</v>
      </c>
      <c r="D27" s="949"/>
      <c r="E27" s="949"/>
      <c r="F27" s="949"/>
      <c r="G27" s="949"/>
      <c r="H27" s="949"/>
      <c r="I27" s="949"/>
      <c r="J27" s="949"/>
      <c r="K27" s="949"/>
      <c r="L27" s="949"/>
      <c r="M27" s="908" t="s">
        <v>259</v>
      </c>
      <c r="N27" s="909"/>
      <c r="O27" s="909"/>
      <c r="P27" s="909"/>
      <c r="Q27" s="909"/>
      <c r="R27" s="909"/>
      <c r="S27" s="909"/>
      <c r="T27" t="s">
        <v>260</v>
      </c>
      <c r="U27" s="909"/>
      <c r="V27" s="909"/>
      <c r="W27" s="909"/>
      <c r="X27" t="s">
        <v>198</v>
      </c>
      <c r="Y27" s="915"/>
      <c r="Z27" s="915"/>
      <c r="AA27" s="915"/>
      <c r="AB27" s="915"/>
      <c r="AC27" s="915"/>
      <c r="AD27" s="915"/>
      <c r="AE27" s="915"/>
      <c r="AF27" s="915"/>
      <c r="AG27" s="915"/>
      <c r="AH27" s="915"/>
      <c r="AI27" s="915"/>
      <c r="AJ27" s="915"/>
      <c r="AK27" s="915"/>
      <c r="AL27" s="915"/>
      <c r="AM27" s="915"/>
      <c r="AN27" s="925"/>
    </row>
    <row r="28" spans="2:40" ht="14.25" customHeight="1">
      <c r="B28" s="957"/>
      <c r="C28" s="949"/>
      <c r="D28" s="949"/>
      <c r="E28" s="949"/>
      <c r="F28" s="949"/>
      <c r="G28" s="949"/>
      <c r="H28" s="949"/>
      <c r="I28" s="949"/>
      <c r="J28" s="949"/>
      <c r="K28" s="949"/>
      <c r="L28" s="949"/>
      <c r="M28" s="936" t="s">
        <v>805</v>
      </c>
      <c r="N28" s="937"/>
      <c r="O28" s="937"/>
      <c r="P28" s="937"/>
      <c r="Q28" t="s">
        <v>806</v>
      </c>
      <c r="R28" s="937"/>
      <c r="S28" s="937"/>
      <c r="T28" s="937"/>
      <c r="U28" s="937"/>
      <c r="V28" s="937" t="s">
        <v>807</v>
      </c>
      <c r="W28" s="937"/>
      <c r="X28" s="938"/>
      <c r="Y28" s="938"/>
      <c r="Z28" s="938"/>
      <c r="AA28" s="938"/>
      <c r="AB28" s="938"/>
      <c r="AC28" s="938"/>
      <c r="AD28" s="938"/>
      <c r="AE28" s="938"/>
      <c r="AF28" s="938"/>
      <c r="AG28" s="938"/>
      <c r="AH28" s="938"/>
      <c r="AI28" s="938"/>
      <c r="AJ28" s="938"/>
      <c r="AK28" s="938"/>
      <c r="AL28" s="938"/>
      <c r="AM28" s="938"/>
      <c r="AN28" s="939"/>
    </row>
    <row r="29" spans="2:40">
      <c r="B29" s="957"/>
      <c r="C29" s="949"/>
      <c r="D29" s="949"/>
      <c r="E29" s="949"/>
      <c r="F29" s="949"/>
      <c r="G29" s="949"/>
      <c r="H29" s="949"/>
      <c r="I29" s="949"/>
      <c r="J29" s="949"/>
      <c r="K29" s="949"/>
      <c r="L29" s="949"/>
      <c r="M29" s="953"/>
      <c r="N29" s="954"/>
      <c r="O29" s="954"/>
      <c r="P29" s="954"/>
      <c r="Q29" s="954"/>
      <c r="R29" s="954"/>
      <c r="S29" s="954"/>
      <c r="T29" s="954"/>
      <c r="U29" s="954"/>
      <c r="V29" s="954"/>
      <c r="W29" s="954"/>
      <c r="X29" s="954"/>
      <c r="Y29" s="954"/>
      <c r="Z29" s="954"/>
      <c r="AA29" s="954"/>
      <c r="AB29" s="954"/>
      <c r="AC29" s="954"/>
      <c r="AD29" s="954"/>
      <c r="AE29" s="954"/>
      <c r="AF29" s="954"/>
      <c r="AG29" s="954"/>
      <c r="AH29" s="954"/>
      <c r="AI29" s="954"/>
      <c r="AJ29" s="954"/>
      <c r="AK29" s="954"/>
      <c r="AL29" s="954"/>
      <c r="AM29" s="954"/>
      <c r="AN29" s="955"/>
    </row>
    <row r="30" spans="2:40" ht="14.25" customHeight="1">
      <c r="B30" s="957"/>
      <c r="C30" s="949" t="s">
        <v>89</v>
      </c>
      <c r="D30" s="949"/>
      <c r="E30" s="949"/>
      <c r="F30" s="949"/>
      <c r="G30" s="949"/>
      <c r="H30" s="949"/>
      <c r="I30" s="949"/>
      <c r="J30" s="949"/>
      <c r="K30" s="949"/>
      <c r="L30" s="949"/>
      <c r="M30" s="901" t="s">
        <v>9</v>
      </c>
      <c r="N30" s="902"/>
      <c r="O30" s="902"/>
      <c r="P30" s="902"/>
      <c r="Q30" s="903"/>
      <c r="R30" s="904"/>
      <c r="S30" s="905"/>
      <c r="T30" s="905"/>
      <c r="U30" s="905"/>
      <c r="V30" s="905"/>
      <c r="W30" s="905"/>
      <c r="X30" s="905"/>
      <c r="Y30" s="905"/>
      <c r="Z30" s="905"/>
      <c r="AA30" s="906"/>
      <c r="AB30" s="908" t="s">
        <v>10</v>
      </c>
      <c r="AC30" s="909"/>
      <c r="AD30" s="909"/>
      <c r="AE30" s="909"/>
      <c r="AF30" s="910"/>
      <c r="AG30" s="904"/>
      <c r="AH30" s="905"/>
      <c r="AI30" s="905"/>
      <c r="AJ30" s="905"/>
      <c r="AK30" s="905"/>
      <c r="AL30" s="905"/>
      <c r="AM30" s="905"/>
      <c r="AN30" s="906"/>
    </row>
    <row r="31" spans="2:40" ht="13.5" customHeight="1">
      <c r="B31" s="957"/>
      <c r="C31" s="962" t="s">
        <v>812</v>
      </c>
      <c r="D31" s="962"/>
      <c r="E31" s="962"/>
      <c r="F31" s="962"/>
      <c r="G31" s="962"/>
      <c r="H31" s="962"/>
      <c r="I31" s="962"/>
      <c r="J31" s="962"/>
      <c r="K31" s="962"/>
      <c r="L31" s="962"/>
      <c r="M31" s="908" t="s">
        <v>259</v>
      </c>
      <c r="N31" s="909"/>
      <c r="O31" s="909"/>
      <c r="P31" s="909"/>
      <c r="Q31" s="909"/>
      <c r="R31" s="909"/>
      <c r="S31" s="909"/>
      <c r="T31" t="s">
        <v>260</v>
      </c>
      <c r="U31" s="909"/>
      <c r="V31" s="909"/>
      <c r="W31" s="909"/>
      <c r="X31" t="s">
        <v>198</v>
      </c>
      <c r="Y31" s="915"/>
      <c r="Z31" s="915"/>
      <c r="AA31" s="915"/>
      <c r="AB31" s="915"/>
      <c r="AC31" s="915"/>
      <c r="AD31" s="915"/>
      <c r="AE31" s="915"/>
      <c r="AF31" s="915"/>
      <c r="AG31" s="915"/>
      <c r="AH31" s="915"/>
      <c r="AI31" s="915"/>
      <c r="AJ31" s="915"/>
      <c r="AK31" s="915"/>
      <c r="AL31" s="915"/>
      <c r="AM31" s="915"/>
      <c r="AN31" s="925"/>
    </row>
    <row r="32" spans="2:40" ht="14.25" customHeight="1">
      <c r="B32" s="957"/>
      <c r="C32" s="962"/>
      <c r="D32" s="962"/>
      <c r="E32" s="962"/>
      <c r="F32" s="962"/>
      <c r="G32" s="962"/>
      <c r="H32" s="962"/>
      <c r="I32" s="962"/>
      <c r="J32" s="962"/>
      <c r="K32" s="962"/>
      <c r="L32" s="962"/>
      <c r="M32" s="936" t="s">
        <v>805</v>
      </c>
      <c r="N32" s="937"/>
      <c r="O32" s="937"/>
      <c r="P32" s="937"/>
      <c r="Q32" t="s">
        <v>806</v>
      </c>
      <c r="R32" s="937"/>
      <c r="S32" s="937"/>
      <c r="T32" s="937"/>
      <c r="U32" s="937"/>
      <c r="V32" s="937" t="s">
        <v>807</v>
      </c>
      <c r="W32" s="937"/>
      <c r="X32" s="938"/>
      <c r="Y32" s="938"/>
      <c r="Z32" s="938"/>
      <c r="AA32" s="938"/>
      <c r="AB32" s="938"/>
      <c r="AC32" s="938"/>
      <c r="AD32" s="938"/>
      <c r="AE32" s="938"/>
      <c r="AF32" s="938"/>
      <c r="AG32" s="938"/>
      <c r="AH32" s="938"/>
      <c r="AI32" s="938"/>
      <c r="AJ32" s="938"/>
      <c r="AK32" s="938"/>
      <c r="AL32" s="938"/>
      <c r="AM32" s="938"/>
      <c r="AN32" s="939"/>
    </row>
    <row r="33" spans="2:40">
      <c r="B33" s="957"/>
      <c r="C33" s="962"/>
      <c r="D33" s="962"/>
      <c r="E33" s="962"/>
      <c r="F33" s="962"/>
      <c r="G33" s="962"/>
      <c r="H33" s="962"/>
      <c r="I33" s="962"/>
      <c r="J33" s="962"/>
      <c r="K33" s="962"/>
      <c r="L33" s="962"/>
      <c r="M33" s="953"/>
      <c r="N33" s="954"/>
      <c r="O33" s="954"/>
      <c r="P33" s="954"/>
      <c r="Q33" s="954"/>
      <c r="R33" s="954"/>
      <c r="S33" s="954"/>
      <c r="T33" s="954"/>
      <c r="U33" s="954"/>
      <c r="V33" s="954"/>
      <c r="W33" s="954"/>
      <c r="X33" s="954"/>
      <c r="Y33" s="954"/>
      <c r="Z33" s="954"/>
      <c r="AA33" s="954"/>
      <c r="AB33" s="954"/>
      <c r="AC33" s="954"/>
      <c r="AD33" s="954"/>
      <c r="AE33" s="954"/>
      <c r="AF33" s="954"/>
      <c r="AG33" s="954"/>
      <c r="AH33" s="954"/>
      <c r="AI33" s="954"/>
      <c r="AJ33" s="954"/>
      <c r="AK33" s="954"/>
      <c r="AL33" s="954"/>
      <c r="AM33" s="954"/>
      <c r="AN33" s="955"/>
    </row>
    <row r="34" spans="2:40" ht="14.25" customHeight="1">
      <c r="B34" s="957"/>
      <c r="C34" s="949"/>
      <c r="D34" s="949"/>
      <c r="E34" s="949"/>
      <c r="F34" s="949"/>
      <c r="G34" s="949"/>
      <c r="H34" s="949"/>
      <c r="I34" s="949"/>
      <c r="J34" s="949"/>
      <c r="K34" s="949"/>
      <c r="L34" s="949"/>
      <c r="M34" s="901" t="s">
        <v>9</v>
      </c>
      <c r="N34" s="902"/>
      <c r="O34" s="902"/>
      <c r="P34" s="902"/>
      <c r="Q34" s="903"/>
      <c r="R34" s="904"/>
      <c r="S34" s="905"/>
      <c r="T34" s="905"/>
      <c r="U34" s="905"/>
      <c r="V34" s="905"/>
      <c r="W34" s="905"/>
      <c r="X34" s="905"/>
      <c r="Y34" s="905"/>
      <c r="Z34" s="905"/>
      <c r="AA34" s="906"/>
      <c r="AB34" s="908" t="s">
        <v>10</v>
      </c>
      <c r="AC34" s="909"/>
      <c r="AD34" s="909"/>
      <c r="AE34" s="909"/>
      <c r="AF34" s="910"/>
      <c r="AG34" s="904"/>
      <c r="AH34" s="905"/>
      <c r="AI34" s="905"/>
      <c r="AJ34" s="905"/>
      <c r="AK34" s="905"/>
      <c r="AL34" s="905"/>
      <c r="AM34" s="905"/>
      <c r="AN34" s="906"/>
    </row>
    <row r="35" spans="2:40" ht="14.25" customHeight="1">
      <c r="B35" s="957"/>
      <c r="C35" s="949" t="s">
        <v>17</v>
      </c>
      <c r="D35" s="949"/>
      <c r="E35" s="949"/>
      <c r="F35" s="949"/>
      <c r="G35" s="949"/>
      <c r="H35" s="949"/>
      <c r="I35" s="949"/>
      <c r="J35" s="949"/>
      <c r="K35" s="949"/>
      <c r="L35" s="949"/>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row>
    <row r="36" spans="2:40" ht="13.5" customHeight="1">
      <c r="B36" s="957"/>
      <c r="C36" s="949" t="s">
        <v>18</v>
      </c>
      <c r="D36" s="949"/>
      <c r="E36" s="949"/>
      <c r="F36" s="949"/>
      <c r="G36" s="949"/>
      <c r="H36" s="949"/>
      <c r="I36" s="949"/>
      <c r="J36" s="949"/>
      <c r="K36" s="949"/>
      <c r="L36" s="949"/>
      <c r="M36" s="908" t="s">
        <v>259</v>
      </c>
      <c r="N36" s="909"/>
      <c r="O36" s="909"/>
      <c r="P36" s="909"/>
      <c r="Q36" s="909"/>
      <c r="R36" s="909"/>
      <c r="S36" s="909"/>
      <c r="T36" t="s">
        <v>260</v>
      </c>
      <c r="U36" s="909"/>
      <c r="V36" s="909"/>
      <c r="W36" s="909"/>
      <c r="X36" t="s">
        <v>198</v>
      </c>
      <c r="Y36" s="915"/>
      <c r="Z36" s="915"/>
      <c r="AA36" s="915"/>
      <c r="AB36" s="915"/>
      <c r="AC36" s="915"/>
      <c r="AD36" s="915"/>
      <c r="AE36" s="915"/>
      <c r="AF36" s="915"/>
      <c r="AG36" s="915"/>
      <c r="AH36" s="915"/>
      <c r="AI36" s="915"/>
      <c r="AJ36" s="915"/>
      <c r="AK36" s="915"/>
      <c r="AL36" s="915"/>
      <c r="AM36" s="915"/>
      <c r="AN36" s="925"/>
    </row>
    <row r="37" spans="2:40" ht="14.25" customHeight="1">
      <c r="B37" s="957"/>
      <c r="C37" s="949"/>
      <c r="D37" s="949"/>
      <c r="E37" s="949"/>
      <c r="F37" s="949"/>
      <c r="G37" s="949"/>
      <c r="H37" s="949"/>
      <c r="I37" s="949"/>
      <c r="J37" s="949"/>
      <c r="K37" s="949"/>
      <c r="L37" s="949"/>
      <c r="M37" s="936" t="s">
        <v>805</v>
      </c>
      <c r="N37" s="937"/>
      <c r="O37" s="937"/>
      <c r="P37" s="937"/>
      <c r="Q37" t="s">
        <v>806</v>
      </c>
      <c r="R37" s="937"/>
      <c r="S37" s="937"/>
      <c r="T37" s="937"/>
      <c r="U37" s="937"/>
      <c r="V37" s="937" t="s">
        <v>807</v>
      </c>
      <c r="W37" s="937"/>
      <c r="X37" s="938"/>
      <c r="Y37" s="938"/>
      <c r="Z37" s="938"/>
      <c r="AA37" s="938"/>
      <c r="AB37" s="938"/>
      <c r="AC37" s="938"/>
      <c r="AD37" s="938"/>
      <c r="AE37" s="938"/>
      <c r="AF37" s="938"/>
      <c r="AG37" s="938"/>
      <c r="AH37" s="938"/>
      <c r="AI37" s="938"/>
      <c r="AJ37" s="938"/>
      <c r="AK37" s="938"/>
      <c r="AL37" s="938"/>
      <c r="AM37" s="938"/>
      <c r="AN37" s="939"/>
    </row>
    <row r="38" spans="2:40">
      <c r="B38" s="958"/>
      <c r="C38" s="949"/>
      <c r="D38" s="949"/>
      <c r="E38" s="949"/>
      <c r="F38" s="949"/>
      <c r="G38" s="949"/>
      <c r="H38" s="949"/>
      <c r="I38" s="949"/>
      <c r="J38" s="949"/>
      <c r="K38" s="949"/>
      <c r="L38" s="949"/>
      <c r="M38" s="953"/>
      <c r="N38" s="954"/>
      <c r="O38" s="963"/>
      <c r="P38" s="963"/>
      <c r="Q38" s="963"/>
      <c r="R38" s="963"/>
      <c r="S38" s="963"/>
      <c r="T38" s="963"/>
      <c r="U38" s="963"/>
      <c r="V38" s="963"/>
      <c r="W38" s="963"/>
      <c r="X38" s="963"/>
      <c r="Y38" s="963"/>
      <c r="Z38" s="963"/>
      <c r="AA38" s="963"/>
      <c r="AB38" s="963"/>
      <c r="AC38" s="963"/>
      <c r="AD38" s="963"/>
      <c r="AE38" s="954"/>
      <c r="AF38" s="954"/>
      <c r="AG38" s="954"/>
      <c r="AH38" s="954"/>
      <c r="AI38" s="954"/>
      <c r="AJ38" s="963"/>
      <c r="AK38" s="963"/>
      <c r="AL38" s="963"/>
      <c r="AM38" s="963"/>
      <c r="AN38" s="964"/>
    </row>
    <row r="39" spans="2:40" ht="13.5" customHeight="1">
      <c r="B39" s="956" t="s">
        <v>813</v>
      </c>
      <c r="C39" s="965" t="s">
        <v>91</v>
      </c>
      <c r="D39" s="966"/>
      <c r="E39" s="966"/>
      <c r="F39" s="966"/>
      <c r="G39" s="966"/>
      <c r="H39" s="966"/>
      <c r="I39" s="966"/>
      <c r="J39" s="966"/>
      <c r="K39" s="966"/>
      <c r="L39" s="966"/>
      <c r="M39" s="966"/>
      <c r="N39" s="1031"/>
      <c r="O39" s="1033" t="s">
        <v>19</v>
      </c>
      <c r="P39" s="1034"/>
      <c r="Q39" s="1037" t="s">
        <v>244</v>
      </c>
      <c r="R39" s="966"/>
      <c r="S39" s="966"/>
      <c r="T39" s="966"/>
      <c r="U39" s="974"/>
      <c r="V39" s="1024" t="s">
        <v>20</v>
      </c>
      <c r="W39" s="1025"/>
      <c r="X39" s="1025"/>
      <c r="Y39" s="1025"/>
      <c r="Z39" s="1025"/>
      <c r="AA39" s="1025"/>
      <c r="AB39" s="1025"/>
      <c r="AC39" s="1025"/>
      <c r="AD39" s="1026"/>
      <c r="AE39" s="965" t="s">
        <v>56</v>
      </c>
      <c r="AF39" s="966"/>
      <c r="AG39" s="966"/>
      <c r="AH39" s="966"/>
      <c r="AI39" s="966"/>
      <c r="AJ39" s="965" t="s">
        <v>57</v>
      </c>
      <c r="AK39" s="966"/>
      <c r="AL39" s="966"/>
      <c r="AM39" s="966"/>
      <c r="AN39" s="974"/>
    </row>
    <row r="40" spans="2:40" ht="14.25" customHeight="1">
      <c r="B40" s="957"/>
      <c r="C40" s="981"/>
      <c r="D40" s="982"/>
      <c r="E40" s="982"/>
      <c r="F40" s="982"/>
      <c r="G40" s="982"/>
      <c r="H40" s="982"/>
      <c r="I40" s="982"/>
      <c r="J40" s="982"/>
      <c r="K40" s="982"/>
      <c r="L40" s="982"/>
      <c r="M40" s="982"/>
      <c r="N40" s="1032"/>
      <c r="O40" s="1035"/>
      <c r="P40" s="1036"/>
      <c r="Q40" s="975" t="s">
        <v>31</v>
      </c>
      <c r="R40" s="976"/>
      <c r="S40" s="976"/>
      <c r="T40" s="976"/>
      <c r="U40" s="977"/>
      <c r="V40" s="978"/>
      <c r="W40" s="979"/>
      <c r="X40" s="979"/>
      <c r="Y40" s="979"/>
      <c r="Z40" s="979"/>
      <c r="AA40" s="979"/>
      <c r="AB40" s="979"/>
      <c r="AC40" s="979"/>
      <c r="AD40" s="980"/>
      <c r="AE40" s="981" t="s">
        <v>31</v>
      </c>
      <c r="AF40" s="982"/>
      <c r="AG40" s="982"/>
      <c r="AH40" s="982"/>
      <c r="AI40" s="982"/>
      <c r="AJ40" s="983" t="s">
        <v>32</v>
      </c>
      <c r="AK40" s="976"/>
      <c r="AL40" s="976"/>
      <c r="AM40" s="976"/>
      <c r="AN40" s="977"/>
    </row>
    <row r="41" spans="2:40" ht="14.25" customHeight="1">
      <c r="B41" s="957"/>
      <c r="C41" s="912" t="s">
        <v>814</v>
      </c>
      <c r="E41" s="969" t="s">
        <v>2</v>
      </c>
      <c r="F41" s="969"/>
      <c r="G41" s="969"/>
      <c r="H41" s="969"/>
      <c r="I41" s="969"/>
      <c r="J41" s="969"/>
      <c r="K41" s="969"/>
      <c r="L41" s="969"/>
      <c r="M41" s="969"/>
      <c r="N41" s="971"/>
      <c r="O41" s="972"/>
      <c r="P41" s="973"/>
      <c r="Q41" s="972"/>
      <c r="R41" s="942"/>
      <c r="S41" s="942"/>
      <c r="T41" s="942"/>
      <c r="U41" s="943"/>
      <c r="V41" t="s">
        <v>194</v>
      </c>
      <c r="W41" s="967" t="s">
        <v>815</v>
      </c>
      <c r="X41" s="967"/>
      <c r="Y41" t="s">
        <v>194</v>
      </c>
      <c r="Z41" s="967" t="s">
        <v>246</v>
      </c>
      <c r="AA41" s="967"/>
      <c r="AB41" t="s">
        <v>194</v>
      </c>
      <c r="AC41" s="967" t="s">
        <v>245</v>
      </c>
      <c r="AD41" s="968"/>
      <c r="AE41" s="904"/>
      <c r="AF41" s="905"/>
      <c r="AG41" s="905"/>
      <c r="AH41" s="905"/>
      <c r="AI41" s="906"/>
      <c r="AJ41" s="946"/>
      <c r="AK41" s="947"/>
      <c r="AL41" s="947"/>
      <c r="AM41" s="947"/>
      <c r="AN41" s="948"/>
    </row>
    <row r="42" spans="2:40" ht="14.25" customHeight="1">
      <c r="B42" s="957"/>
      <c r="C42" s="912"/>
      <c r="E42" s="969" t="s">
        <v>3</v>
      </c>
      <c r="F42" s="970"/>
      <c r="G42" s="970"/>
      <c r="H42" s="970"/>
      <c r="I42" s="970"/>
      <c r="J42" s="970"/>
      <c r="K42" s="970"/>
      <c r="L42" s="970"/>
      <c r="M42" s="970"/>
      <c r="N42" s="971"/>
      <c r="O42" s="972"/>
      <c r="P42" s="973"/>
      <c r="Q42" s="972"/>
      <c r="R42" s="942"/>
      <c r="S42" s="942"/>
      <c r="T42" s="942"/>
      <c r="U42" s="943"/>
      <c r="V42" t="s">
        <v>194</v>
      </c>
      <c r="W42" s="967" t="s">
        <v>815</v>
      </c>
      <c r="X42" s="967"/>
      <c r="Y42" t="s">
        <v>194</v>
      </c>
      <c r="Z42" s="967" t="s">
        <v>246</v>
      </c>
      <c r="AA42" s="967"/>
      <c r="AB42" t="s">
        <v>194</v>
      </c>
      <c r="AC42" s="967" t="s">
        <v>245</v>
      </c>
      <c r="AD42" s="968"/>
      <c r="AE42" s="904"/>
      <c r="AF42" s="905"/>
      <c r="AG42" s="905"/>
      <c r="AH42" s="905"/>
      <c r="AI42" s="906"/>
      <c r="AJ42" s="946"/>
      <c r="AK42" s="947"/>
      <c r="AL42" s="947"/>
      <c r="AM42" s="947"/>
      <c r="AN42" s="948"/>
    </row>
    <row r="43" spans="2:40" ht="14.25" customHeight="1">
      <c r="B43" s="957"/>
      <c r="C43" s="912"/>
      <c r="E43" s="969" t="s">
        <v>247</v>
      </c>
      <c r="F43" s="970"/>
      <c r="G43" s="970"/>
      <c r="H43" s="970"/>
      <c r="I43" s="970"/>
      <c r="J43" s="970"/>
      <c r="K43" s="970"/>
      <c r="L43" s="970"/>
      <c r="M43" s="970"/>
      <c r="N43" s="971"/>
      <c r="O43" s="972"/>
      <c r="P43" s="973"/>
      <c r="Q43" s="972"/>
      <c r="R43" s="942"/>
      <c r="S43" s="942"/>
      <c r="T43" s="942"/>
      <c r="U43" s="943"/>
      <c r="V43" t="s">
        <v>194</v>
      </c>
      <c r="W43" s="967" t="s">
        <v>815</v>
      </c>
      <c r="X43" s="967"/>
      <c r="Y43" t="s">
        <v>194</v>
      </c>
      <c r="Z43" s="967" t="s">
        <v>246</v>
      </c>
      <c r="AA43" s="967"/>
      <c r="AB43" t="s">
        <v>194</v>
      </c>
      <c r="AC43" s="967" t="s">
        <v>245</v>
      </c>
      <c r="AD43" s="968"/>
      <c r="AE43" s="904"/>
      <c r="AF43" s="905"/>
      <c r="AG43" s="905"/>
      <c r="AH43" s="905"/>
      <c r="AI43" s="906"/>
      <c r="AJ43" s="946"/>
      <c r="AK43" s="947"/>
      <c r="AL43" s="947"/>
      <c r="AM43" s="947"/>
      <c r="AN43" s="948"/>
    </row>
    <row r="44" spans="2:40" ht="14.25" customHeight="1">
      <c r="B44" s="957"/>
      <c r="C44" s="912"/>
      <c r="E44" s="969" t="s">
        <v>283</v>
      </c>
      <c r="F44" s="970"/>
      <c r="G44" s="970"/>
      <c r="H44" s="970"/>
      <c r="I44" s="970"/>
      <c r="J44" s="970"/>
      <c r="K44" s="970"/>
      <c r="L44" s="970"/>
      <c r="M44" s="970"/>
      <c r="N44" s="971"/>
      <c r="O44" s="972"/>
      <c r="P44" s="973"/>
      <c r="Q44" s="972"/>
      <c r="R44" s="942"/>
      <c r="S44" s="942"/>
      <c r="T44" s="942"/>
      <c r="U44" s="943"/>
      <c r="V44" t="s">
        <v>194</v>
      </c>
      <c r="W44" s="967" t="s">
        <v>815</v>
      </c>
      <c r="X44" s="967"/>
      <c r="Y44" t="s">
        <v>194</v>
      </c>
      <c r="Z44" s="967" t="s">
        <v>246</v>
      </c>
      <c r="AA44" s="967"/>
      <c r="AB44" t="s">
        <v>194</v>
      </c>
      <c r="AC44" s="967" t="s">
        <v>245</v>
      </c>
      <c r="AD44" s="968"/>
      <c r="AE44" s="904"/>
      <c r="AF44" s="905"/>
      <c r="AG44" s="905"/>
      <c r="AH44" s="905"/>
      <c r="AI44" s="906"/>
      <c r="AJ44" s="946"/>
      <c r="AK44" s="947"/>
      <c r="AL44" s="947"/>
      <c r="AM44" s="947"/>
      <c r="AN44" s="948"/>
    </row>
    <row r="45" spans="2:40" ht="14.25" customHeight="1">
      <c r="B45" s="957"/>
      <c r="C45" s="912"/>
      <c r="E45" s="969" t="s">
        <v>248</v>
      </c>
      <c r="F45" s="970"/>
      <c r="G45" s="970"/>
      <c r="H45" s="970"/>
      <c r="I45" s="970"/>
      <c r="J45" s="970"/>
      <c r="K45" s="970"/>
      <c r="L45" s="970"/>
      <c r="M45" s="970"/>
      <c r="N45" s="971"/>
      <c r="O45" s="972"/>
      <c r="P45" s="973"/>
      <c r="Q45" s="972"/>
      <c r="R45" s="942"/>
      <c r="S45" s="942"/>
      <c r="T45" s="942"/>
      <c r="U45" s="943"/>
      <c r="V45" t="s">
        <v>194</v>
      </c>
      <c r="W45" s="967" t="s">
        <v>815</v>
      </c>
      <c r="X45" s="967"/>
      <c r="Y45" t="s">
        <v>194</v>
      </c>
      <c r="Z45" s="967" t="s">
        <v>246</v>
      </c>
      <c r="AA45" s="967"/>
      <c r="AB45" t="s">
        <v>194</v>
      </c>
      <c r="AC45" s="967" t="s">
        <v>245</v>
      </c>
      <c r="AD45" s="968"/>
      <c r="AE45" s="904"/>
      <c r="AF45" s="905"/>
      <c r="AG45" s="905"/>
      <c r="AH45" s="905"/>
      <c r="AI45" s="906"/>
      <c r="AJ45" s="946"/>
      <c r="AK45" s="947"/>
      <c r="AL45" s="947"/>
      <c r="AM45" s="947"/>
      <c r="AN45" s="948"/>
    </row>
    <row r="46" spans="2:40" ht="14.25" customHeight="1">
      <c r="B46" s="957"/>
      <c r="C46" s="912"/>
      <c r="E46" s="969" t="s">
        <v>4</v>
      </c>
      <c r="F46" s="970"/>
      <c r="G46" s="970"/>
      <c r="H46" s="970"/>
      <c r="I46" s="970"/>
      <c r="J46" s="970"/>
      <c r="K46" s="970"/>
      <c r="L46" s="970"/>
      <c r="M46" s="970"/>
      <c r="N46" s="971"/>
      <c r="O46" s="972"/>
      <c r="P46" s="973"/>
      <c r="Q46" s="972"/>
      <c r="R46" s="942"/>
      <c r="S46" s="942"/>
      <c r="T46" s="942"/>
      <c r="U46" s="943"/>
      <c r="V46" t="s">
        <v>194</v>
      </c>
      <c r="W46" s="967" t="s">
        <v>815</v>
      </c>
      <c r="X46" s="967"/>
      <c r="Y46" t="s">
        <v>194</v>
      </c>
      <c r="Z46" s="967" t="s">
        <v>246</v>
      </c>
      <c r="AA46" s="967"/>
      <c r="AB46" t="s">
        <v>194</v>
      </c>
      <c r="AC46" s="967" t="s">
        <v>245</v>
      </c>
      <c r="AD46" s="968"/>
      <c r="AE46" s="904"/>
      <c r="AF46" s="905"/>
      <c r="AG46" s="905"/>
      <c r="AH46" s="905"/>
      <c r="AI46" s="906"/>
      <c r="AJ46" s="946"/>
      <c r="AK46" s="947"/>
      <c r="AL46" s="947"/>
      <c r="AM46" s="947"/>
      <c r="AN46" s="948"/>
    </row>
    <row r="47" spans="2:40" ht="14.25" customHeight="1">
      <c r="B47" s="957"/>
      <c r="C47" s="912"/>
      <c r="E47" s="969" t="s">
        <v>816</v>
      </c>
      <c r="F47" s="970"/>
      <c r="G47" s="970"/>
      <c r="H47" s="970"/>
      <c r="I47" s="970"/>
      <c r="J47" s="970"/>
      <c r="K47" s="970"/>
      <c r="L47" s="970"/>
      <c r="M47" s="970"/>
      <c r="N47" s="971"/>
      <c r="O47" s="972"/>
      <c r="P47" s="973"/>
      <c r="Q47" s="972"/>
      <c r="R47" s="942"/>
      <c r="S47" s="942"/>
      <c r="T47" s="942"/>
      <c r="U47" s="943"/>
      <c r="V47" t="s">
        <v>194</v>
      </c>
      <c r="W47" s="967" t="s">
        <v>815</v>
      </c>
      <c r="X47" s="967"/>
      <c r="Y47" t="s">
        <v>194</v>
      </c>
      <c r="Z47" s="967" t="s">
        <v>246</v>
      </c>
      <c r="AA47" s="967"/>
      <c r="AB47" t="s">
        <v>194</v>
      </c>
      <c r="AC47" s="967" t="s">
        <v>245</v>
      </c>
      <c r="AD47" s="968"/>
      <c r="AE47" s="904"/>
      <c r="AF47" s="905"/>
      <c r="AG47" s="905"/>
      <c r="AH47" s="905"/>
      <c r="AI47" s="906"/>
      <c r="AJ47" s="946"/>
      <c r="AK47" s="947"/>
      <c r="AL47" s="947"/>
      <c r="AM47" s="947"/>
      <c r="AN47" s="948"/>
    </row>
    <row r="48" spans="2:40" ht="14.25" customHeight="1">
      <c r="B48" s="957"/>
      <c r="C48" s="912"/>
      <c r="E48" s="969" t="s">
        <v>6</v>
      </c>
      <c r="F48" s="970"/>
      <c r="G48" s="970"/>
      <c r="H48" s="970"/>
      <c r="I48" s="970"/>
      <c r="J48" s="970"/>
      <c r="K48" s="970"/>
      <c r="L48" s="970"/>
      <c r="M48" s="970"/>
      <c r="N48" s="971"/>
      <c r="O48" s="972"/>
      <c r="P48" s="973"/>
      <c r="Q48" s="972"/>
      <c r="R48" s="942"/>
      <c r="S48" s="942"/>
      <c r="T48" s="942"/>
      <c r="U48" s="943"/>
      <c r="V48" t="s">
        <v>194</v>
      </c>
      <c r="W48" s="967" t="s">
        <v>815</v>
      </c>
      <c r="X48" s="967"/>
      <c r="Y48" t="s">
        <v>194</v>
      </c>
      <c r="Z48" s="967" t="s">
        <v>246</v>
      </c>
      <c r="AA48" s="967"/>
      <c r="AB48" t="s">
        <v>194</v>
      </c>
      <c r="AC48" s="967" t="s">
        <v>245</v>
      </c>
      <c r="AD48" s="968"/>
      <c r="AE48" s="904"/>
      <c r="AF48" s="905"/>
      <c r="AG48" s="905"/>
      <c r="AH48" s="905"/>
      <c r="AI48" s="906"/>
      <c r="AJ48" s="946"/>
      <c r="AK48" s="947"/>
      <c r="AL48" s="947"/>
      <c r="AM48" s="947"/>
      <c r="AN48" s="948"/>
    </row>
    <row r="49" spans="2:40" ht="14.25" customHeight="1">
      <c r="B49" s="957"/>
      <c r="C49" s="912"/>
      <c r="E49" s="969" t="s">
        <v>249</v>
      </c>
      <c r="F49" s="970"/>
      <c r="G49" s="970"/>
      <c r="H49" s="970"/>
      <c r="I49" s="970"/>
      <c r="J49" s="970"/>
      <c r="K49" s="970"/>
      <c r="L49" s="970"/>
      <c r="M49" s="970"/>
      <c r="N49" s="971"/>
      <c r="O49" s="972"/>
      <c r="P49" s="973"/>
      <c r="Q49" s="972"/>
      <c r="R49" s="942"/>
      <c r="S49" s="942"/>
      <c r="T49" s="942"/>
      <c r="U49" s="943"/>
      <c r="V49" t="s">
        <v>194</v>
      </c>
      <c r="W49" s="967" t="s">
        <v>815</v>
      </c>
      <c r="X49" s="967"/>
      <c r="Y49" t="s">
        <v>194</v>
      </c>
      <c r="Z49" s="967" t="s">
        <v>246</v>
      </c>
      <c r="AA49" s="967"/>
      <c r="AB49" t="s">
        <v>194</v>
      </c>
      <c r="AC49" s="967" t="s">
        <v>245</v>
      </c>
      <c r="AD49" s="968"/>
      <c r="AE49" s="904"/>
      <c r="AF49" s="905"/>
      <c r="AG49" s="905"/>
      <c r="AH49" s="905"/>
      <c r="AI49" s="906"/>
      <c r="AJ49" s="946"/>
      <c r="AK49" s="947"/>
      <c r="AL49" s="947"/>
      <c r="AM49" s="947"/>
      <c r="AN49" s="948"/>
    </row>
    <row r="50" spans="2:40" ht="14.25" customHeight="1">
      <c r="B50" s="957"/>
      <c r="C50" s="912"/>
      <c r="E50" s="969" t="s">
        <v>250</v>
      </c>
      <c r="F50" s="970"/>
      <c r="G50" s="970"/>
      <c r="H50" s="970"/>
      <c r="I50" s="970"/>
      <c r="J50" s="970"/>
      <c r="K50" s="970"/>
      <c r="L50" s="970"/>
      <c r="M50" s="970"/>
      <c r="N50" s="971"/>
      <c r="O50" s="972"/>
      <c r="P50" s="973"/>
      <c r="Q50" s="972"/>
      <c r="R50" s="942"/>
      <c r="S50" s="942"/>
      <c r="T50" s="942"/>
      <c r="U50" s="943"/>
      <c r="V50" t="s">
        <v>194</v>
      </c>
      <c r="W50" s="967" t="s">
        <v>815</v>
      </c>
      <c r="X50" s="967"/>
      <c r="Y50" t="s">
        <v>194</v>
      </c>
      <c r="Z50" s="967" t="s">
        <v>246</v>
      </c>
      <c r="AA50" s="967"/>
      <c r="AB50" t="s">
        <v>194</v>
      </c>
      <c r="AC50" s="967" t="s">
        <v>245</v>
      </c>
      <c r="AD50" s="968"/>
      <c r="AE50" s="904"/>
      <c r="AF50" s="905"/>
      <c r="AG50" s="905"/>
      <c r="AH50" s="905"/>
      <c r="AI50" s="906"/>
      <c r="AJ50" s="946"/>
      <c r="AK50" s="947"/>
      <c r="AL50" s="947"/>
      <c r="AM50" s="947"/>
      <c r="AN50" s="948"/>
    </row>
    <row r="51" spans="2:40" ht="14.25" customHeight="1" thickBot="1">
      <c r="B51" s="957"/>
      <c r="C51" s="912"/>
      <c r="E51" s="1005" t="s">
        <v>5</v>
      </c>
      <c r="F51" s="1006"/>
      <c r="G51" s="1006"/>
      <c r="H51" s="1006"/>
      <c r="I51" s="1006"/>
      <c r="J51" s="1006"/>
      <c r="K51" s="1006"/>
      <c r="L51" s="1006"/>
      <c r="M51" s="1006"/>
      <c r="N51" s="1007"/>
      <c r="O51" s="1008"/>
      <c r="P51" s="1009"/>
      <c r="Q51" s="1008"/>
      <c r="R51" s="1010"/>
      <c r="S51" s="1010"/>
      <c r="T51" s="1010"/>
      <c r="U51" s="1011"/>
      <c r="V51" t="s">
        <v>194</v>
      </c>
      <c r="W51" s="1012" t="s">
        <v>815</v>
      </c>
      <c r="X51" s="1012"/>
      <c r="Y51" t="s">
        <v>194</v>
      </c>
      <c r="Z51" s="1012" t="s">
        <v>246</v>
      </c>
      <c r="AA51" s="1012"/>
      <c r="AB51" t="s">
        <v>194</v>
      </c>
      <c r="AC51" s="1012" t="s">
        <v>245</v>
      </c>
      <c r="AD51" s="1013"/>
      <c r="AE51" s="984"/>
      <c r="AF51" s="985"/>
      <c r="AG51" s="985"/>
      <c r="AH51" s="985"/>
      <c r="AI51" s="986"/>
      <c r="AJ51" s="987"/>
      <c r="AK51" s="988"/>
      <c r="AL51" s="988"/>
      <c r="AM51" s="988"/>
      <c r="AN51" s="989"/>
    </row>
    <row r="52" spans="2:40" ht="14.25" customHeight="1" thickTop="1">
      <c r="B52" s="957"/>
      <c r="C52" s="912"/>
      <c r="E52" s="990" t="s">
        <v>77</v>
      </c>
      <c r="F52" s="991"/>
      <c r="G52" s="991"/>
      <c r="H52" s="991"/>
      <c r="I52" s="991"/>
      <c r="J52" s="991"/>
      <c r="K52" s="991"/>
      <c r="L52" s="991"/>
      <c r="M52" s="991"/>
      <c r="N52" s="992"/>
      <c r="O52" s="993"/>
      <c r="P52" s="994"/>
      <c r="Q52" s="993"/>
      <c r="R52" s="995"/>
      <c r="S52" s="995"/>
      <c r="T52" s="995"/>
      <c r="U52" s="996"/>
      <c r="V52" t="s">
        <v>194</v>
      </c>
      <c r="W52" s="997" t="s">
        <v>815</v>
      </c>
      <c r="X52" s="997"/>
      <c r="Y52" t="s">
        <v>194</v>
      </c>
      <c r="Z52" s="997" t="s">
        <v>246</v>
      </c>
      <c r="AA52" s="997"/>
      <c r="AB52" t="s">
        <v>194</v>
      </c>
      <c r="AC52" s="997" t="s">
        <v>245</v>
      </c>
      <c r="AD52" s="998"/>
      <c r="AE52" s="999"/>
      <c r="AF52" s="1000"/>
      <c r="AG52" s="1000"/>
      <c r="AH52" s="1000"/>
      <c r="AI52" s="1001"/>
      <c r="AJ52" s="1002"/>
      <c r="AK52" s="1003"/>
      <c r="AL52" s="1003"/>
      <c r="AM52" s="1003"/>
      <c r="AN52" s="1004"/>
    </row>
    <row r="53" spans="2:40" ht="14.25" customHeight="1">
      <c r="B53" s="957"/>
      <c r="C53" s="912"/>
      <c r="E53" s="1014" t="s">
        <v>251</v>
      </c>
      <c r="F53" s="1015"/>
      <c r="G53" s="1015"/>
      <c r="H53" s="1015"/>
      <c r="I53" s="1015"/>
      <c r="J53" s="1015"/>
      <c r="K53" s="1015"/>
      <c r="L53" s="1015"/>
      <c r="M53" s="1015"/>
      <c r="N53" s="1016"/>
      <c r="O53" s="972"/>
      <c r="P53" s="973"/>
      <c r="Q53" s="972"/>
      <c r="R53" s="942"/>
      <c r="S53" s="942"/>
      <c r="T53" s="942"/>
      <c r="U53" s="943"/>
      <c r="V53" t="s">
        <v>194</v>
      </c>
      <c r="W53" s="967" t="s">
        <v>815</v>
      </c>
      <c r="X53" s="967"/>
      <c r="Y53" t="s">
        <v>194</v>
      </c>
      <c r="Z53" s="967" t="s">
        <v>246</v>
      </c>
      <c r="AA53" s="967"/>
      <c r="AB53" t="s">
        <v>194</v>
      </c>
      <c r="AC53" s="967" t="s">
        <v>245</v>
      </c>
      <c r="AD53" s="968"/>
      <c r="AE53" s="904"/>
      <c r="AF53" s="905"/>
      <c r="AG53" s="905"/>
      <c r="AH53" s="905"/>
      <c r="AI53" s="906"/>
      <c r="AJ53" s="946"/>
      <c r="AK53" s="947"/>
      <c r="AL53" s="947"/>
      <c r="AM53" s="947"/>
      <c r="AN53" s="948"/>
    </row>
    <row r="54" spans="2:40" ht="14.25" customHeight="1">
      <c r="B54" s="957"/>
      <c r="C54" s="912"/>
      <c r="E54" s="1014" t="s">
        <v>252</v>
      </c>
      <c r="F54" s="1015"/>
      <c r="G54" s="1015"/>
      <c r="H54" s="1015"/>
      <c r="I54" s="1015"/>
      <c r="J54" s="1015"/>
      <c r="K54" s="1015"/>
      <c r="L54" s="1015"/>
      <c r="M54" s="1015"/>
      <c r="N54" s="1016"/>
      <c r="O54" s="972"/>
      <c r="P54" s="973"/>
      <c r="Q54" s="972"/>
      <c r="R54" s="942"/>
      <c r="S54" s="942"/>
      <c r="T54" s="942"/>
      <c r="U54" s="943"/>
      <c r="V54" t="s">
        <v>194</v>
      </c>
      <c r="W54" s="967" t="s">
        <v>815</v>
      </c>
      <c r="X54" s="967"/>
      <c r="Y54" t="s">
        <v>194</v>
      </c>
      <c r="Z54" s="967" t="s">
        <v>246</v>
      </c>
      <c r="AA54" s="967"/>
      <c r="AB54" t="s">
        <v>194</v>
      </c>
      <c r="AC54" s="967" t="s">
        <v>245</v>
      </c>
      <c r="AD54" s="968"/>
      <c r="AE54" s="904"/>
      <c r="AF54" s="905"/>
      <c r="AG54" s="905"/>
      <c r="AH54" s="905"/>
      <c r="AI54" s="906"/>
      <c r="AJ54" s="946"/>
      <c r="AK54" s="947"/>
      <c r="AL54" s="947"/>
      <c r="AM54" s="947"/>
      <c r="AN54" s="948"/>
    </row>
    <row r="55" spans="2:40" ht="14.25" customHeight="1">
      <c r="B55" s="957"/>
      <c r="C55" s="912"/>
      <c r="E55" s="1014" t="s">
        <v>253</v>
      </c>
      <c r="F55" s="1015"/>
      <c r="G55" s="1015"/>
      <c r="H55" s="1015"/>
      <c r="I55" s="1015"/>
      <c r="J55" s="1015"/>
      <c r="K55" s="1015"/>
      <c r="L55" s="1015"/>
      <c r="M55" s="1015"/>
      <c r="N55" s="1016"/>
      <c r="O55" s="972"/>
      <c r="P55" s="973"/>
      <c r="Q55" s="972"/>
      <c r="R55" s="942"/>
      <c r="S55" s="942"/>
      <c r="T55" s="942"/>
      <c r="U55" s="943"/>
      <c r="V55" t="s">
        <v>194</v>
      </c>
      <c r="W55" s="967" t="s">
        <v>815</v>
      </c>
      <c r="X55" s="967"/>
      <c r="Y55" t="s">
        <v>194</v>
      </c>
      <c r="Z55" s="967" t="s">
        <v>246</v>
      </c>
      <c r="AA55" s="967"/>
      <c r="AB55" t="s">
        <v>194</v>
      </c>
      <c r="AC55" s="967" t="s">
        <v>245</v>
      </c>
      <c r="AD55" s="968"/>
      <c r="AE55" s="904"/>
      <c r="AF55" s="905"/>
      <c r="AG55" s="905"/>
      <c r="AH55" s="905"/>
      <c r="AI55" s="906"/>
      <c r="AJ55" s="946"/>
      <c r="AK55" s="947"/>
      <c r="AL55" s="947"/>
      <c r="AM55" s="947"/>
      <c r="AN55" s="948"/>
    </row>
    <row r="56" spans="2:40" ht="14.25" customHeight="1">
      <c r="B56" s="957"/>
      <c r="C56" s="912"/>
      <c r="E56" s="1014" t="s">
        <v>254</v>
      </c>
      <c r="F56" s="1015"/>
      <c r="G56" s="1015"/>
      <c r="H56" s="1015"/>
      <c r="I56" s="1015"/>
      <c r="J56" s="1015"/>
      <c r="K56" s="1015"/>
      <c r="L56" s="1015"/>
      <c r="M56" s="1015"/>
      <c r="N56" s="1016"/>
      <c r="O56" s="972"/>
      <c r="P56" s="973"/>
      <c r="Q56" s="972"/>
      <c r="R56" s="942"/>
      <c r="S56" s="942"/>
      <c r="T56" s="942"/>
      <c r="U56" s="943"/>
      <c r="V56" t="s">
        <v>194</v>
      </c>
      <c r="W56" s="967" t="s">
        <v>815</v>
      </c>
      <c r="X56" s="967"/>
      <c r="Y56" t="s">
        <v>194</v>
      </c>
      <c r="Z56" s="967" t="s">
        <v>246</v>
      </c>
      <c r="AA56" s="967"/>
      <c r="AB56" t="s">
        <v>194</v>
      </c>
      <c r="AC56" s="967" t="s">
        <v>245</v>
      </c>
      <c r="AD56" s="968"/>
      <c r="AE56" s="904"/>
      <c r="AF56" s="905"/>
      <c r="AG56" s="905"/>
      <c r="AH56" s="905"/>
      <c r="AI56" s="906"/>
      <c r="AJ56" s="946"/>
      <c r="AK56" s="947"/>
      <c r="AL56" s="947"/>
      <c r="AM56" s="947"/>
      <c r="AN56" s="948"/>
    </row>
    <row r="57" spans="2:40" ht="14.25" customHeight="1">
      <c r="B57" s="957"/>
      <c r="C57" s="912"/>
      <c r="E57" s="1014" t="s">
        <v>79</v>
      </c>
      <c r="F57" s="1015"/>
      <c r="G57" s="1015"/>
      <c r="H57" s="1015"/>
      <c r="I57" s="1015"/>
      <c r="J57" s="1015"/>
      <c r="K57" s="1015"/>
      <c r="L57" s="1015"/>
      <c r="M57" s="1015"/>
      <c r="N57" s="1016"/>
      <c r="O57" s="972"/>
      <c r="P57" s="973"/>
      <c r="Q57" s="972"/>
      <c r="R57" s="942"/>
      <c r="S57" s="942"/>
      <c r="T57" s="942"/>
      <c r="U57" s="943"/>
      <c r="V57" t="s">
        <v>194</v>
      </c>
      <c r="W57" s="967" t="s">
        <v>815</v>
      </c>
      <c r="X57" s="967"/>
      <c r="Y57" t="s">
        <v>194</v>
      </c>
      <c r="Z57" s="967" t="s">
        <v>246</v>
      </c>
      <c r="AA57" s="967"/>
      <c r="AB57" t="s">
        <v>194</v>
      </c>
      <c r="AC57" s="967" t="s">
        <v>245</v>
      </c>
      <c r="AD57" s="968"/>
      <c r="AE57" s="904"/>
      <c r="AF57" s="905"/>
      <c r="AG57" s="905"/>
      <c r="AH57" s="905"/>
      <c r="AI57" s="906"/>
      <c r="AJ57" s="946"/>
      <c r="AK57" s="947"/>
      <c r="AL57" s="947"/>
      <c r="AM57" s="947"/>
      <c r="AN57" s="948"/>
    </row>
    <row r="58" spans="2:40" ht="14.25" customHeight="1">
      <c r="B58" s="957"/>
      <c r="C58" s="912"/>
      <c r="E58" s="1014" t="s">
        <v>255</v>
      </c>
      <c r="F58" s="1015"/>
      <c r="G58" s="1015"/>
      <c r="H58" s="1015"/>
      <c r="I58" s="1015"/>
      <c r="J58" s="1015"/>
      <c r="K58" s="1015"/>
      <c r="L58" s="1015"/>
      <c r="M58" s="1015"/>
      <c r="N58" s="1016"/>
      <c r="O58" s="972"/>
      <c r="P58" s="973"/>
      <c r="Q58" s="972"/>
      <c r="R58" s="942"/>
      <c r="S58" s="942"/>
      <c r="T58" s="942"/>
      <c r="U58" s="943"/>
      <c r="V58" t="s">
        <v>194</v>
      </c>
      <c r="W58" s="967" t="s">
        <v>815</v>
      </c>
      <c r="X58" s="967"/>
      <c r="Y58" t="s">
        <v>194</v>
      </c>
      <c r="Z58" s="967" t="s">
        <v>246</v>
      </c>
      <c r="AA58" s="967"/>
      <c r="AB58" t="s">
        <v>194</v>
      </c>
      <c r="AC58" s="967" t="s">
        <v>245</v>
      </c>
      <c r="AD58" s="968"/>
      <c r="AE58" s="904"/>
      <c r="AF58" s="905"/>
      <c r="AG58" s="905"/>
      <c r="AH58" s="905"/>
      <c r="AI58" s="906"/>
      <c r="AJ58" s="946"/>
      <c r="AK58" s="947"/>
      <c r="AL58" s="947"/>
      <c r="AM58" s="947"/>
      <c r="AN58" s="948"/>
    </row>
    <row r="59" spans="2:40" ht="14.25" customHeight="1">
      <c r="B59" s="957"/>
      <c r="C59" s="912"/>
      <c r="E59" s="1014" t="s">
        <v>256</v>
      </c>
      <c r="F59" s="1015"/>
      <c r="G59" s="1015"/>
      <c r="H59" s="1015"/>
      <c r="I59" s="1015"/>
      <c r="J59" s="1015"/>
      <c r="K59" s="1015"/>
      <c r="L59" s="1015"/>
      <c r="M59" s="1015"/>
      <c r="N59" s="1016"/>
      <c r="O59" s="972"/>
      <c r="P59" s="973"/>
      <c r="Q59" s="972"/>
      <c r="R59" s="942"/>
      <c r="S59" s="942"/>
      <c r="T59" s="942"/>
      <c r="U59" s="943"/>
      <c r="V59" t="s">
        <v>194</v>
      </c>
      <c r="W59" s="967" t="s">
        <v>815</v>
      </c>
      <c r="X59" s="967"/>
      <c r="Y59" t="s">
        <v>194</v>
      </c>
      <c r="Z59" s="967" t="s">
        <v>246</v>
      </c>
      <c r="AA59" s="967"/>
      <c r="AB59" t="s">
        <v>194</v>
      </c>
      <c r="AC59" s="967" t="s">
        <v>245</v>
      </c>
      <c r="AD59" s="968"/>
      <c r="AE59" s="904"/>
      <c r="AF59" s="905"/>
      <c r="AG59" s="905"/>
      <c r="AH59" s="905"/>
      <c r="AI59" s="906"/>
      <c r="AJ59" s="946"/>
      <c r="AK59" s="947"/>
      <c r="AL59" s="947"/>
      <c r="AM59" s="947"/>
      <c r="AN59" s="948"/>
    </row>
    <row r="60" spans="2:40" ht="14.25" customHeight="1">
      <c r="B60" s="957"/>
      <c r="C60" s="913"/>
      <c r="E60" s="1014" t="s">
        <v>80</v>
      </c>
      <c r="F60" s="1015"/>
      <c r="G60" s="1015"/>
      <c r="H60" s="1015"/>
      <c r="I60" s="1015"/>
      <c r="J60" s="1015"/>
      <c r="K60" s="1015"/>
      <c r="L60" s="1015"/>
      <c r="M60" s="1015"/>
      <c r="N60" s="1016"/>
      <c r="O60" s="972"/>
      <c r="P60" s="973"/>
      <c r="Q60" s="972"/>
      <c r="R60" s="942"/>
      <c r="S60" s="942"/>
      <c r="T60" s="942"/>
      <c r="U60" s="943"/>
      <c r="V60" t="s">
        <v>194</v>
      </c>
      <c r="W60" s="967" t="s">
        <v>815</v>
      </c>
      <c r="X60" s="967"/>
      <c r="Y60" t="s">
        <v>194</v>
      </c>
      <c r="Z60" s="967" t="s">
        <v>246</v>
      </c>
      <c r="AA60" s="967"/>
      <c r="AB60" t="s">
        <v>194</v>
      </c>
      <c r="AC60" s="967" t="s">
        <v>245</v>
      </c>
      <c r="AD60" s="968"/>
      <c r="AE60" s="904"/>
      <c r="AF60" s="905"/>
      <c r="AG60" s="905"/>
      <c r="AH60" s="905"/>
      <c r="AI60" s="906"/>
      <c r="AJ60" s="946"/>
      <c r="AK60" s="947"/>
      <c r="AL60" s="947"/>
      <c r="AM60" s="947"/>
      <c r="AN60" s="948"/>
    </row>
    <row r="61" spans="2:40" ht="14.25" customHeight="1">
      <c r="B61" s="957"/>
      <c r="C61" s="1030" t="s">
        <v>817</v>
      </c>
      <c r="E61" s="969" t="s">
        <v>818</v>
      </c>
      <c r="F61" s="969"/>
      <c r="G61" s="969"/>
      <c r="H61" s="969"/>
      <c r="I61" s="969"/>
      <c r="J61" s="969"/>
      <c r="K61" s="969"/>
      <c r="L61" s="969"/>
      <c r="M61" s="969"/>
      <c r="N61" s="1017"/>
      <c r="O61" s="972"/>
      <c r="P61" s="973"/>
      <c r="Q61" s="972"/>
      <c r="R61" s="942"/>
      <c r="S61" s="942"/>
      <c r="T61" s="942"/>
      <c r="U61" s="943"/>
      <c r="V61" t="s">
        <v>194</v>
      </c>
      <c r="W61" s="967" t="s">
        <v>815</v>
      </c>
      <c r="X61" s="967"/>
      <c r="Y61" t="s">
        <v>194</v>
      </c>
      <c r="Z61" s="967" t="s">
        <v>246</v>
      </c>
      <c r="AA61" s="967"/>
      <c r="AB61" t="s">
        <v>194</v>
      </c>
      <c r="AC61" s="967" t="s">
        <v>245</v>
      </c>
      <c r="AD61" s="968"/>
      <c r="AE61" s="904"/>
      <c r="AF61" s="905"/>
      <c r="AG61" s="905"/>
      <c r="AH61" s="905"/>
      <c r="AI61" s="906"/>
      <c r="AJ61" s="946"/>
      <c r="AK61" s="947"/>
      <c r="AL61" s="947"/>
      <c r="AM61" s="947"/>
      <c r="AN61" s="948"/>
    </row>
    <row r="62" spans="2:40" ht="14.25" customHeight="1">
      <c r="B62" s="957"/>
      <c r="C62" s="1030"/>
      <c r="E62" s="969" t="s">
        <v>278</v>
      </c>
      <c r="F62" s="969"/>
      <c r="G62" s="969"/>
      <c r="H62" s="969"/>
      <c r="I62" s="969"/>
      <c r="J62" s="969"/>
      <c r="K62" s="969"/>
      <c r="L62" s="969"/>
      <c r="M62" s="969"/>
      <c r="N62" s="1017"/>
      <c r="O62" s="972"/>
      <c r="P62" s="973"/>
      <c r="Q62" s="972"/>
      <c r="R62" s="942"/>
      <c r="S62" s="942"/>
      <c r="T62" s="942"/>
      <c r="U62" s="943"/>
      <c r="V62" t="s">
        <v>194</v>
      </c>
      <c r="W62" s="967" t="s">
        <v>815</v>
      </c>
      <c r="X62" s="967"/>
      <c r="Y62" t="s">
        <v>194</v>
      </c>
      <c r="Z62" s="967" t="s">
        <v>246</v>
      </c>
      <c r="AA62" s="967"/>
      <c r="AB62" t="s">
        <v>194</v>
      </c>
      <c r="AC62" s="967" t="s">
        <v>245</v>
      </c>
      <c r="AD62" s="968"/>
      <c r="AE62" s="904"/>
      <c r="AF62" s="905"/>
      <c r="AG62" s="905"/>
      <c r="AH62" s="905"/>
      <c r="AI62" s="906"/>
      <c r="AJ62" s="946"/>
      <c r="AK62" s="947"/>
      <c r="AL62" s="947"/>
      <c r="AM62" s="947"/>
      <c r="AN62" s="948"/>
    </row>
    <row r="63" spans="2:40" ht="14.25" customHeight="1">
      <c r="B63" s="958"/>
      <c r="C63" s="1030"/>
      <c r="E63" s="969" t="s">
        <v>258</v>
      </c>
      <c r="F63" s="969"/>
      <c r="G63" s="969"/>
      <c r="H63" s="969"/>
      <c r="I63" s="969"/>
      <c r="J63" s="969"/>
      <c r="K63" s="969"/>
      <c r="L63" s="969"/>
      <c r="M63" s="969"/>
      <c r="N63" s="1017"/>
      <c r="O63" s="972"/>
      <c r="P63" s="973"/>
      <c r="Q63" s="972"/>
      <c r="R63" s="942"/>
      <c r="S63" s="942"/>
      <c r="T63" s="942"/>
      <c r="U63" s="943"/>
      <c r="V63" t="s">
        <v>194</v>
      </c>
      <c r="W63" s="967" t="s">
        <v>815</v>
      </c>
      <c r="X63" s="967"/>
      <c r="Y63" t="s">
        <v>194</v>
      </c>
      <c r="Z63" s="967" t="s">
        <v>246</v>
      </c>
      <c r="AA63" s="967"/>
      <c r="AB63" t="s">
        <v>194</v>
      </c>
      <c r="AC63" s="967" t="s">
        <v>245</v>
      </c>
      <c r="AD63" s="968"/>
      <c r="AE63" s="904"/>
      <c r="AF63" s="905"/>
      <c r="AG63" s="905"/>
      <c r="AH63" s="905"/>
      <c r="AI63" s="906"/>
      <c r="AJ63" s="946"/>
      <c r="AK63" s="947"/>
      <c r="AL63" s="947"/>
      <c r="AM63" s="947"/>
      <c r="AN63" s="948"/>
    </row>
    <row r="64" spans="2:40" ht="14.25" customHeight="1">
      <c r="B64" s="1018" t="s">
        <v>21</v>
      </c>
      <c r="C64" s="969"/>
      <c r="D64" s="969"/>
      <c r="E64" s="969"/>
      <c r="F64" s="969"/>
      <c r="G64" s="969"/>
      <c r="H64" s="969"/>
      <c r="I64" s="969"/>
      <c r="J64" s="969"/>
      <c r="K64" s="969"/>
      <c r="L64" s="1019"/>
      <c r="W64" s="1020"/>
      <c r="X64" s="1020"/>
      <c r="Y64" s="1020"/>
      <c r="Z64" s="1020"/>
      <c r="AA64" s="1020"/>
      <c r="AB64" s="1020"/>
      <c r="AC64" s="1020"/>
      <c r="AD64" s="1020"/>
      <c r="AE64" s="1020"/>
      <c r="AF64" s="1020"/>
      <c r="AG64" s="1020"/>
      <c r="AH64" s="1020"/>
      <c r="AI64" s="1020"/>
      <c r="AJ64" s="1020"/>
      <c r="AK64" s="1020"/>
      <c r="AL64" s="1020"/>
      <c r="AM64" s="1020"/>
      <c r="AN64" s="1020"/>
    </row>
    <row r="65" spans="2:40" ht="14.25" customHeight="1">
      <c r="B65" s="1021" t="s">
        <v>40</v>
      </c>
      <c r="C65" s="1022"/>
      <c r="D65" s="1022"/>
      <c r="E65" s="1022"/>
      <c r="F65" s="1022"/>
      <c r="G65" s="1022"/>
      <c r="H65" s="1022"/>
      <c r="I65" s="1022"/>
      <c r="J65" s="1022"/>
      <c r="K65" s="1022"/>
      <c r="L65" s="1022"/>
      <c r="M65" s="1022"/>
      <c r="N65" s="1022"/>
      <c r="O65" s="1023"/>
      <c r="W65" s="1020"/>
      <c r="X65" s="1020"/>
      <c r="Y65" s="1020"/>
      <c r="Z65" s="1020"/>
      <c r="AA65" s="1020"/>
      <c r="AB65" s="1020"/>
      <c r="AC65" s="1020"/>
      <c r="AD65" s="1020"/>
      <c r="AE65" s="1020"/>
      <c r="AF65" s="1020"/>
      <c r="AG65" s="1020"/>
      <c r="AH65" s="1020"/>
      <c r="AI65" s="1020"/>
      <c r="AJ65" s="1020"/>
      <c r="AK65" s="1020"/>
      <c r="AL65" s="1020"/>
      <c r="AM65" s="1020"/>
      <c r="AN65" s="1020"/>
    </row>
    <row r="66" spans="2:40" ht="14.25" customHeight="1">
      <c r="B66" s="911" t="s">
        <v>22</v>
      </c>
      <c r="C66" s="941" t="s">
        <v>92</v>
      </c>
      <c r="D66" s="942"/>
      <c r="E66" s="942"/>
      <c r="F66" s="942"/>
      <c r="G66" s="942"/>
      <c r="H66" s="942"/>
      <c r="I66" s="942"/>
      <c r="J66" s="942"/>
      <c r="K66" s="942"/>
      <c r="L66" s="942"/>
      <c r="M66" s="942"/>
      <c r="N66" s="942"/>
      <c r="O66" s="942"/>
      <c r="P66" s="942"/>
      <c r="Q66" s="942"/>
      <c r="R66" s="942"/>
      <c r="S66" s="942"/>
      <c r="T66" s="942"/>
      <c r="U66" s="943"/>
      <c r="V66" s="941" t="s">
        <v>33</v>
      </c>
      <c r="W66" s="942"/>
      <c r="X66" s="942"/>
      <c r="Y66" s="942"/>
      <c r="Z66" s="942"/>
      <c r="AA66" s="942"/>
      <c r="AB66" s="942"/>
      <c r="AC66" s="942"/>
      <c r="AD66" s="942"/>
      <c r="AE66" s="942"/>
      <c r="AF66" s="942"/>
      <c r="AG66" s="942"/>
      <c r="AH66" s="942"/>
      <c r="AI66" s="942"/>
      <c r="AJ66" s="942"/>
      <c r="AK66" s="942"/>
      <c r="AL66" s="942"/>
      <c r="AM66" s="942"/>
      <c r="AN66" s="943"/>
    </row>
    <row r="67" spans="2:40">
      <c r="B67" s="912"/>
      <c r="C67" s="1024"/>
      <c r="D67" s="1025"/>
      <c r="E67" s="1025"/>
      <c r="F67" s="1025"/>
      <c r="G67" s="1025"/>
      <c r="H67" s="1025"/>
      <c r="I67" s="1025"/>
      <c r="J67" s="1025"/>
      <c r="K67" s="1025"/>
      <c r="L67" s="1025"/>
      <c r="M67" s="1025"/>
      <c r="N67" s="1025"/>
      <c r="O67" s="1025"/>
      <c r="P67" s="1025"/>
      <c r="Q67" s="1025"/>
      <c r="R67" s="1025"/>
      <c r="S67" s="1025"/>
      <c r="T67" s="1025"/>
      <c r="U67" s="1026"/>
      <c r="V67" s="1024"/>
      <c r="W67" s="1025"/>
      <c r="X67" s="1025"/>
      <c r="Y67" s="1025"/>
      <c r="Z67" s="1025"/>
      <c r="AA67" s="1025"/>
      <c r="AB67" s="1025"/>
      <c r="AC67" s="1025"/>
      <c r="AD67" s="1025"/>
      <c r="AE67" s="1025"/>
      <c r="AF67" s="1025"/>
      <c r="AG67" s="1025"/>
      <c r="AH67" s="1025"/>
      <c r="AI67" s="1025"/>
      <c r="AJ67" s="1025"/>
      <c r="AK67" s="1025"/>
      <c r="AL67" s="1025"/>
      <c r="AM67" s="1025"/>
      <c r="AN67" s="1026"/>
    </row>
    <row r="68" spans="2:40">
      <c r="B68" s="912"/>
      <c r="C68" s="1027"/>
      <c r="D68" s="1028"/>
      <c r="E68" s="1028"/>
      <c r="F68" s="1028"/>
      <c r="G68" s="1028"/>
      <c r="H68" s="1028"/>
      <c r="I68" s="1028"/>
      <c r="J68" s="1028"/>
      <c r="K68" s="1028"/>
      <c r="L68" s="1028"/>
      <c r="M68" s="1028"/>
      <c r="N68" s="1028"/>
      <c r="O68" s="1028"/>
      <c r="P68" s="1028"/>
      <c r="Q68" s="1028"/>
      <c r="R68" s="1028"/>
      <c r="S68" s="1028"/>
      <c r="T68" s="1028"/>
      <c r="U68" s="1029"/>
      <c r="V68" s="1027"/>
      <c r="W68" s="1028"/>
      <c r="X68" s="1028"/>
      <c r="Y68" s="1028"/>
      <c r="Z68" s="1028"/>
      <c r="AA68" s="1028"/>
      <c r="AB68" s="1028"/>
      <c r="AC68" s="1028"/>
      <c r="AD68" s="1028"/>
      <c r="AE68" s="1028"/>
      <c r="AF68" s="1028"/>
      <c r="AG68" s="1028"/>
      <c r="AH68" s="1028"/>
      <c r="AI68" s="1028"/>
      <c r="AJ68" s="1028"/>
      <c r="AK68" s="1028"/>
      <c r="AL68" s="1028"/>
      <c r="AM68" s="1028"/>
      <c r="AN68" s="1029"/>
    </row>
    <row r="69" spans="2:40">
      <c r="B69" s="912"/>
      <c r="C69" s="1027"/>
      <c r="D69" s="1028"/>
      <c r="E69" s="1028"/>
      <c r="F69" s="1028"/>
      <c r="G69" s="1028"/>
      <c r="H69" s="1028"/>
      <c r="I69" s="1028"/>
      <c r="J69" s="1028"/>
      <c r="K69" s="1028"/>
      <c r="L69" s="1028"/>
      <c r="M69" s="1028"/>
      <c r="N69" s="1028"/>
      <c r="O69" s="1028"/>
      <c r="P69" s="1028"/>
      <c r="Q69" s="1028"/>
      <c r="R69" s="1028"/>
      <c r="S69" s="1028"/>
      <c r="T69" s="1028"/>
      <c r="U69" s="1029"/>
      <c r="V69" s="1027"/>
      <c r="W69" s="1028"/>
      <c r="X69" s="1028"/>
      <c r="Y69" s="1028"/>
      <c r="Z69" s="1028"/>
      <c r="AA69" s="1028"/>
      <c r="AB69" s="1028"/>
      <c r="AC69" s="1028"/>
      <c r="AD69" s="1028"/>
      <c r="AE69" s="1028"/>
      <c r="AF69" s="1028"/>
      <c r="AG69" s="1028"/>
      <c r="AH69" s="1028"/>
      <c r="AI69" s="1028"/>
      <c r="AJ69" s="1028"/>
      <c r="AK69" s="1028"/>
      <c r="AL69" s="1028"/>
      <c r="AM69" s="1028"/>
      <c r="AN69" s="1029"/>
    </row>
    <row r="70" spans="2:40">
      <c r="B70" s="913"/>
      <c r="C70" s="978"/>
      <c r="D70" s="979"/>
      <c r="E70" s="979"/>
      <c r="F70" s="979"/>
      <c r="G70" s="979"/>
      <c r="H70" s="979"/>
      <c r="I70" s="979"/>
      <c r="J70" s="979"/>
      <c r="K70" s="979"/>
      <c r="L70" s="979"/>
      <c r="M70" s="979"/>
      <c r="N70" s="979"/>
      <c r="O70" s="979"/>
      <c r="P70" s="979"/>
      <c r="Q70" s="979"/>
      <c r="R70" s="979"/>
      <c r="S70" s="979"/>
      <c r="T70" s="979"/>
      <c r="U70" s="980"/>
      <c r="V70" s="978"/>
      <c r="W70" s="979"/>
      <c r="X70" s="979"/>
      <c r="Y70" s="979"/>
      <c r="Z70" s="979"/>
      <c r="AA70" s="979"/>
      <c r="AB70" s="979"/>
      <c r="AC70" s="979"/>
      <c r="AD70" s="979"/>
      <c r="AE70" s="979"/>
      <c r="AF70" s="979"/>
      <c r="AG70" s="979"/>
      <c r="AH70" s="979"/>
      <c r="AI70" s="979"/>
      <c r="AJ70" s="979"/>
      <c r="AK70" s="979"/>
      <c r="AL70" s="979"/>
      <c r="AM70" s="979"/>
      <c r="AN70" s="980"/>
    </row>
    <row r="71" spans="2:40" ht="14.25" customHeight="1">
      <c r="B71" s="901" t="s">
        <v>23</v>
      </c>
      <c r="C71" s="902"/>
      <c r="D71" s="902"/>
      <c r="E71" s="902"/>
      <c r="F71" s="903"/>
      <c r="G71" s="940" t="s">
        <v>24</v>
      </c>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row>
    <row r="73" spans="2:40">
      <c r="B73" t="s">
        <v>819</v>
      </c>
    </row>
    <row r="74" spans="2:40">
      <c r="B74" t="s">
        <v>820</v>
      </c>
    </row>
    <row r="75" spans="2:40">
      <c r="B75" t="s">
        <v>821</v>
      </c>
    </row>
    <row r="76" spans="2:40">
      <c r="B76" t="s">
        <v>123</v>
      </c>
    </row>
    <row r="77" spans="2:40">
      <c r="B77" t="s">
        <v>59</v>
      </c>
    </row>
    <row r="78" spans="2:40">
      <c r="B78" t="s">
        <v>822</v>
      </c>
    </row>
    <row r="79" spans="2:40">
      <c r="B79" t="s">
        <v>823</v>
      </c>
    </row>
    <row r="80" spans="2:40">
      <c r="D80" t="s">
        <v>824</v>
      </c>
    </row>
    <row r="81" spans="2:2">
      <c r="B81" t="s">
        <v>825</v>
      </c>
    </row>
    <row r="82" spans="2:2">
      <c r="B82" t="s">
        <v>826</v>
      </c>
    </row>
    <row r="83" spans="2:2">
      <c r="B83" t="s">
        <v>117</v>
      </c>
    </row>
  </sheetData>
  <mergeCells count="310">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Z48:AA48"/>
    <mergeCell ref="AC48:AD48"/>
    <mergeCell ref="AE48:AI48"/>
    <mergeCell ref="AJ48:AN48"/>
    <mergeCell ref="E47:N47"/>
    <mergeCell ref="O47:P47"/>
    <mergeCell ref="Q47:U47"/>
    <mergeCell ref="W47:X47"/>
    <mergeCell ref="Z47:AA47"/>
    <mergeCell ref="AC47:AD47"/>
    <mergeCell ref="E48:N48"/>
    <mergeCell ref="O48:P48"/>
    <mergeCell ref="Q48:U48"/>
    <mergeCell ref="W48:X48"/>
    <mergeCell ref="AJ46:AN46"/>
    <mergeCell ref="E45:N45"/>
    <mergeCell ref="O45:P45"/>
    <mergeCell ref="Q45:U45"/>
    <mergeCell ref="W45:X45"/>
    <mergeCell ref="Z45:AA45"/>
    <mergeCell ref="AC45:AD45"/>
    <mergeCell ref="AE47:AI47"/>
    <mergeCell ref="AJ47:AN47"/>
    <mergeCell ref="AJ44:AN44"/>
    <mergeCell ref="O43:P43"/>
    <mergeCell ref="Q43:U43"/>
    <mergeCell ref="W43:X43"/>
    <mergeCell ref="Z43:AA43"/>
    <mergeCell ref="AC43:AD43"/>
    <mergeCell ref="AE43:AI43"/>
    <mergeCell ref="AE45:AI45"/>
    <mergeCell ref="AJ45:AN45"/>
    <mergeCell ref="AJ39:AN39"/>
    <mergeCell ref="Q40:U40"/>
    <mergeCell ref="V40:AD40"/>
    <mergeCell ref="AE40:AI40"/>
    <mergeCell ref="AJ40:AN40"/>
    <mergeCell ref="C41:C60"/>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N36"/>
    <mergeCell ref="M37:P37"/>
    <mergeCell ref="R37:U37"/>
    <mergeCell ref="V37:W37"/>
    <mergeCell ref="X37:AN37"/>
    <mergeCell ref="M38:AN38"/>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3"/>
  <dataValidations count="2">
    <dataValidation type="list" allowBlank="1" showInputMessage="1" showErrorMessage="1" sqref="AB41:AB63 JX41:JX63 TT41:TT63 ADP41:ADP63 ANL41:ANL63 AXH41:AXH63 BHD41:BHD63 BQZ41:BQZ63 CAV41:CAV63 CKR41:CKR63 CUN41:CUN63 DEJ41:DEJ63 DOF41:DOF63 DYB41:DYB63 EHX41:EHX63 ERT41:ERT63 FBP41:FBP63 FLL41:FLL63 FVH41:FVH63 GFD41:GFD63 GOZ41:GOZ63 GYV41:GYV63 HIR41:HIR63 HSN41:HSN63 ICJ41:ICJ63 IMF41:IMF63 IWB41:IWB63 JFX41:JFX63 JPT41:JPT63 JZP41:JZP63 KJL41:KJL63 KTH41:KTH63 LDD41:LDD63 LMZ41:LMZ63 LWV41:LWV63 MGR41:MGR63 MQN41:MQN63 NAJ41:NAJ63 NKF41:NKF63 NUB41:NUB63 ODX41:ODX63 ONT41:ONT63 OXP41:OXP63 PHL41:PHL63 PRH41:PRH63 QBD41:QBD63 QKZ41:QKZ63 QUV41:QUV63 RER41:RER63 RON41:RON63 RYJ41:RYJ63 SIF41:SIF63 SSB41:SSB63 TBX41:TBX63 TLT41:TLT63 TVP41:TVP63 UFL41:UFL63 UPH41:UPH63 UZD41:UZD63 VIZ41:VIZ63 VSV41:VSV63 WCR41:WCR63 WMN41:WMN63 WWJ41:WWJ63 AB65577:AB65599 JX65577:JX65599 TT65577:TT65599 ADP65577:ADP65599 ANL65577:ANL65599 AXH65577:AXH65599 BHD65577:BHD65599 BQZ65577:BQZ65599 CAV65577:CAV65599 CKR65577:CKR65599 CUN65577:CUN65599 DEJ65577:DEJ65599 DOF65577:DOF65599 DYB65577:DYB65599 EHX65577:EHX65599 ERT65577:ERT65599 FBP65577:FBP65599 FLL65577:FLL65599 FVH65577:FVH65599 GFD65577:GFD65599 GOZ65577:GOZ65599 GYV65577:GYV65599 HIR65577:HIR65599 HSN65577:HSN65599 ICJ65577:ICJ65599 IMF65577:IMF65599 IWB65577:IWB65599 JFX65577:JFX65599 JPT65577:JPT65599 JZP65577:JZP65599 KJL65577:KJL65599 KTH65577:KTH65599 LDD65577:LDD65599 LMZ65577:LMZ65599 LWV65577:LWV65599 MGR65577:MGR65599 MQN65577:MQN65599 NAJ65577:NAJ65599 NKF65577:NKF65599 NUB65577:NUB65599 ODX65577:ODX65599 ONT65577:ONT65599 OXP65577:OXP65599 PHL65577:PHL65599 PRH65577:PRH65599 QBD65577:QBD65599 QKZ65577:QKZ65599 QUV65577:QUV65599 RER65577:RER65599 RON65577:RON65599 RYJ65577:RYJ65599 SIF65577:SIF65599 SSB65577:SSB65599 TBX65577:TBX65599 TLT65577:TLT65599 TVP65577:TVP65599 UFL65577:UFL65599 UPH65577:UPH65599 UZD65577:UZD65599 VIZ65577:VIZ65599 VSV65577:VSV65599 WCR65577:WCR65599 WMN65577:WMN65599 WWJ65577:WWJ65599 AB131113:AB131135 JX131113:JX131135 TT131113:TT131135 ADP131113:ADP131135 ANL131113:ANL131135 AXH131113:AXH131135 BHD131113:BHD131135 BQZ131113:BQZ131135 CAV131113:CAV131135 CKR131113:CKR131135 CUN131113:CUN131135 DEJ131113:DEJ131135 DOF131113:DOF131135 DYB131113:DYB131135 EHX131113:EHX131135 ERT131113:ERT131135 FBP131113:FBP131135 FLL131113:FLL131135 FVH131113:FVH131135 GFD131113:GFD131135 GOZ131113:GOZ131135 GYV131113:GYV131135 HIR131113:HIR131135 HSN131113:HSN131135 ICJ131113:ICJ131135 IMF131113:IMF131135 IWB131113:IWB131135 JFX131113:JFX131135 JPT131113:JPT131135 JZP131113:JZP131135 KJL131113:KJL131135 KTH131113:KTH131135 LDD131113:LDD131135 LMZ131113:LMZ131135 LWV131113:LWV131135 MGR131113:MGR131135 MQN131113:MQN131135 NAJ131113:NAJ131135 NKF131113:NKF131135 NUB131113:NUB131135 ODX131113:ODX131135 ONT131113:ONT131135 OXP131113:OXP131135 PHL131113:PHL131135 PRH131113:PRH131135 QBD131113:QBD131135 QKZ131113:QKZ131135 QUV131113:QUV131135 RER131113:RER131135 RON131113:RON131135 RYJ131113:RYJ131135 SIF131113:SIF131135 SSB131113:SSB131135 TBX131113:TBX131135 TLT131113:TLT131135 TVP131113:TVP131135 UFL131113:UFL131135 UPH131113:UPH131135 UZD131113:UZD131135 VIZ131113:VIZ131135 VSV131113:VSV131135 WCR131113:WCR131135 WMN131113:WMN131135 WWJ131113:WWJ131135 AB196649:AB196671 JX196649:JX196671 TT196649:TT196671 ADP196649:ADP196671 ANL196649:ANL196671 AXH196649:AXH196671 BHD196649:BHD196671 BQZ196649:BQZ196671 CAV196649:CAV196671 CKR196649:CKR196671 CUN196649:CUN196671 DEJ196649:DEJ196671 DOF196649:DOF196671 DYB196649:DYB196671 EHX196649:EHX196671 ERT196649:ERT196671 FBP196649:FBP196671 FLL196649:FLL196671 FVH196649:FVH196671 GFD196649:GFD196671 GOZ196649:GOZ196671 GYV196649:GYV196671 HIR196649:HIR196671 HSN196649:HSN196671 ICJ196649:ICJ196671 IMF196649:IMF196671 IWB196649:IWB196671 JFX196649:JFX196671 JPT196649:JPT196671 JZP196649:JZP196671 KJL196649:KJL196671 KTH196649:KTH196671 LDD196649:LDD196671 LMZ196649:LMZ196671 LWV196649:LWV196671 MGR196649:MGR196671 MQN196649:MQN196671 NAJ196649:NAJ196671 NKF196649:NKF196671 NUB196649:NUB196671 ODX196649:ODX196671 ONT196649:ONT196671 OXP196649:OXP196671 PHL196649:PHL196671 PRH196649:PRH196671 QBD196649:QBD196671 QKZ196649:QKZ196671 QUV196649:QUV196671 RER196649:RER196671 RON196649:RON196671 RYJ196649:RYJ196671 SIF196649:SIF196671 SSB196649:SSB196671 TBX196649:TBX196671 TLT196649:TLT196671 TVP196649:TVP196671 UFL196649:UFL196671 UPH196649:UPH196671 UZD196649:UZD196671 VIZ196649:VIZ196671 VSV196649:VSV196671 WCR196649:WCR196671 WMN196649:WMN196671 WWJ196649:WWJ196671 AB262185:AB262207 JX262185:JX262207 TT262185:TT262207 ADP262185:ADP262207 ANL262185:ANL262207 AXH262185:AXH262207 BHD262185:BHD262207 BQZ262185:BQZ262207 CAV262185:CAV262207 CKR262185:CKR262207 CUN262185:CUN262207 DEJ262185:DEJ262207 DOF262185:DOF262207 DYB262185:DYB262207 EHX262185:EHX262207 ERT262185:ERT262207 FBP262185:FBP262207 FLL262185:FLL262207 FVH262185:FVH262207 GFD262185:GFD262207 GOZ262185:GOZ262207 GYV262185:GYV262207 HIR262185:HIR262207 HSN262185:HSN262207 ICJ262185:ICJ262207 IMF262185:IMF262207 IWB262185:IWB262207 JFX262185:JFX262207 JPT262185:JPT262207 JZP262185:JZP262207 KJL262185:KJL262207 KTH262185:KTH262207 LDD262185:LDD262207 LMZ262185:LMZ262207 LWV262185:LWV262207 MGR262185:MGR262207 MQN262185:MQN262207 NAJ262185:NAJ262207 NKF262185:NKF262207 NUB262185:NUB262207 ODX262185:ODX262207 ONT262185:ONT262207 OXP262185:OXP262207 PHL262185:PHL262207 PRH262185:PRH262207 QBD262185:QBD262207 QKZ262185:QKZ262207 QUV262185:QUV262207 RER262185:RER262207 RON262185:RON262207 RYJ262185:RYJ262207 SIF262185:SIF262207 SSB262185:SSB262207 TBX262185:TBX262207 TLT262185:TLT262207 TVP262185:TVP262207 UFL262185:UFL262207 UPH262185:UPH262207 UZD262185:UZD262207 VIZ262185:VIZ262207 VSV262185:VSV262207 WCR262185:WCR262207 WMN262185:WMN262207 WWJ262185:WWJ262207 AB327721:AB327743 JX327721:JX327743 TT327721:TT327743 ADP327721:ADP327743 ANL327721:ANL327743 AXH327721:AXH327743 BHD327721:BHD327743 BQZ327721:BQZ327743 CAV327721:CAV327743 CKR327721:CKR327743 CUN327721:CUN327743 DEJ327721:DEJ327743 DOF327721:DOF327743 DYB327721:DYB327743 EHX327721:EHX327743 ERT327721:ERT327743 FBP327721:FBP327743 FLL327721:FLL327743 FVH327721:FVH327743 GFD327721:GFD327743 GOZ327721:GOZ327743 GYV327721:GYV327743 HIR327721:HIR327743 HSN327721:HSN327743 ICJ327721:ICJ327743 IMF327721:IMF327743 IWB327721:IWB327743 JFX327721:JFX327743 JPT327721:JPT327743 JZP327721:JZP327743 KJL327721:KJL327743 KTH327721:KTH327743 LDD327721:LDD327743 LMZ327721:LMZ327743 LWV327721:LWV327743 MGR327721:MGR327743 MQN327721:MQN327743 NAJ327721:NAJ327743 NKF327721:NKF327743 NUB327721:NUB327743 ODX327721:ODX327743 ONT327721:ONT327743 OXP327721:OXP327743 PHL327721:PHL327743 PRH327721:PRH327743 QBD327721:QBD327743 QKZ327721:QKZ327743 QUV327721:QUV327743 RER327721:RER327743 RON327721:RON327743 RYJ327721:RYJ327743 SIF327721:SIF327743 SSB327721:SSB327743 TBX327721:TBX327743 TLT327721:TLT327743 TVP327721:TVP327743 UFL327721:UFL327743 UPH327721:UPH327743 UZD327721:UZD327743 VIZ327721:VIZ327743 VSV327721:VSV327743 WCR327721:WCR327743 WMN327721:WMN327743 WWJ327721:WWJ327743 AB393257:AB393279 JX393257:JX393279 TT393257:TT393279 ADP393257:ADP393279 ANL393257:ANL393279 AXH393257:AXH393279 BHD393257:BHD393279 BQZ393257:BQZ393279 CAV393257:CAV393279 CKR393257:CKR393279 CUN393257:CUN393279 DEJ393257:DEJ393279 DOF393257:DOF393279 DYB393257:DYB393279 EHX393257:EHX393279 ERT393257:ERT393279 FBP393257:FBP393279 FLL393257:FLL393279 FVH393257:FVH393279 GFD393257:GFD393279 GOZ393257:GOZ393279 GYV393257:GYV393279 HIR393257:HIR393279 HSN393257:HSN393279 ICJ393257:ICJ393279 IMF393257:IMF393279 IWB393257:IWB393279 JFX393257:JFX393279 JPT393257:JPT393279 JZP393257:JZP393279 KJL393257:KJL393279 KTH393257:KTH393279 LDD393257:LDD393279 LMZ393257:LMZ393279 LWV393257:LWV393279 MGR393257:MGR393279 MQN393257:MQN393279 NAJ393257:NAJ393279 NKF393257:NKF393279 NUB393257:NUB393279 ODX393257:ODX393279 ONT393257:ONT393279 OXP393257:OXP393279 PHL393257:PHL393279 PRH393257:PRH393279 QBD393257:QBD393279 QKZ393257:QKZ393279 QUV393257:QUV393279 RER393257:RER393279 RON393257:RON393279 RYJ393257:RYJ393279 SIF393257:SIF393279 SSB393257:SSB393279 TBX393257:TBX393279 TLT393257:TLT393279 TVP393257:TVP393279 UFL393257:UFL393279 UPH393257:UPH393279 UZD393257:UZD393279 VIZ393257:VIZ393279 VSV393257:VSV393279 WCR393257:WCR393279 WMN393257:WMN393279 WWJ393257:WWJ393279 AB458793:AB458815 JX458793:JX458815 TT458793:TT458815 ADP458793:ADP458815 ANL458793:ANL458815 AXH458793:AXH458815 BHD458793:BHD458815 BQZ458793:BQZ458815 CAV458793:CAV458815 CKR458793:CKR458815 CUN458793:CUN458815 DEJ458793:DEJ458815 DOF458793:DOF458815 DYB458793:DYB458815 EHX458793:EHX458815 ERT458793:ERT458815 FBP458793:FBP458815 FLL458793:FLL458815 FVH458793:FVH458815 GFD458793:GFD458815 GOZ458793:GOZ458815 GYV458793:GYV458815 HIR458793:HIR458815 HSN458793:HSN458815 ICJ458793:ICJ458815 IMF458793:IMF458815 IWB458793:IWB458815 JFX458793:JFX458815 JPT458793:JPT458815 JZP458793:JZP458815 KJL458793:KJL458815 KTH458793:KTH458815 LDD458793:LDD458815 LMZ458793:LMZ458815 LWV458793:LWV458815 MGR458793:MGR458815 MQN458793:MQN458815 NAJ458793:NAJ458815 NKF458793:NKF458815 NUB458793:NUB458815 ODX458793:ODX458815 ONT458793:ONT458815 OXP458793:OXP458815 PHL458793:PHL458815 PRH458793:PRH458815 QBD458793:QBD458815 QKZ458793:QKZ458815 QUV458793:QUV458815 RER458793:RER458815 RON458793:RON458815 RYJ458793:RYJ458815 SIF458793:SIF458815 SSB458793:SSB458815 TBX458793:TBX458815 TLT458793:TLT458815 TVP458793:TVP458815 UFL458793:UFL458815 UPH458793:UPH458815 UZD458793:UZD458815 VIZ458793:VIZ458815 VSV458793:VSV458815 WCR458793:WCR458815 WMN458793:WMN458815 WWJ458793:WWJ458815 AB524329:AB524351 JX524329:JX524351 TT524329:TT524351 ADP524329:ADP524351 ANL524329:ANL524351 AXH524329:AXH524351 BHD524329:BHD524351 BQZ524329:BQZ524351 CAV524329:CAV524351 CKR524329:CKR524351 CUN524329:CUN524351 DEJ524329:DEJ524351 DOF524329:DOF524351 DYB524329:DYB524351 EHX524329:EHX524351 ERT524329:ERT524351 FBP524329:FBP524351 FLL524329:FLL524351 FVH524329:FVH524351 GFD524329:GFD524351 GOZ524329:GOZ524351 GYV524329:GYV524351 HIR524329:HIR524351 HSN524329:HSN524351 ICJ524329:ICJ524351 IMF524329:IMF524351 IWB524329:IWB524351 JFX524329:JFX524351 JPT524329:JPT524351 JZP524329:JZP524351 KJL524329:KJL524351 KTH524329:KTH524351 LDD524329:LDD524351 LMZ524329:LMZ524351 LWV524329:LWV524351 MGR524329:MGR524351 MQN524329:MQN524351 NAJ524329:NAJ524351 NKF524329:NKF524351 NUB524329:NUB524351 ODX524329:ODX524351 ONT524329:ONT524351 OXP524329:OXP524351 PHL524329:PHL524351 PRH524329:PRH524351 QBD524329:QBD524351 QKZ524329:QKZ524351 QUV524329:QUV524351 RER524329:RER524351 RON524329:RON524351 RYJ524329:RYJ524351 SIF524329:SIF524351 SSB524329:SSB524351 TBX524329:TBX524351 TLT524329:TLT524351 TVP524329:TVP524351 UFL524329:UFL524351 UPH524329:UPH524351 UZD524329:UZD524351 VIZ524329:VIZ524351 VSV524329:VSV524351 WCR524329:WCR524351 WMN524329:WMN524351 WWJ524329:WWJ524351 AB589865:AB589887 JX589865:JX589887 TT589865:TT589887 ADP589865:ADP589887 ANL589865:ANL589887 AXH589865:AXH589887 BHD589865:BHD589887 BQZ589865:BQZ589887 CAV589865:CAV589887 CKR589865:CKR589887 CUN589865:CUN589887 DEJ589865:DEJ589887 DOF589865:DOF589887 DYB589865:DYB589887 EHX589865:EHX589887 ERT589865:ERT589887 FBP589865:FBP589887 FLL589865:FLL589887 FVH589865:FVH589887 GFD589865:GFD589887 GOZ589865:GOZ589887 GYV589865:GYV589887 HIR589865:HIR589887 HSN589865:HSN589887 ICJ589865:ICJ589887 IMF589865:IMF589887 IWB589865:IWB589887 JFX589865:JFX589887 JPT589865:JPT589887 JZP589865:JZP589887 KJL589865:KJL589887 KTH589865:KTH589887 LDD589865:LDD589887 LMZ589865:LMZ589887 LWV589865:LWV589887 MGR589865:MGR589887 MQN589865:MQN589887 NAJ589865:NAJ589887 NKF589865:NKF589887 NUB589865:NUB589887 ODX589865:ODX589887 ONT589865:ONT589887 OXP589865:OXP589887 PHL589865:PHL589887 PRH589865:PRH589887 QBD589865:QBD589887 QKZ589865:QKZ589887 QUV589865:QUV589887 RER589865:RER589887 RON589865:RON589887 RYJ589865:RYJ589887 SIF589865:SIF589887 SSB589865:SSB589887 TBX589865:TBX589887 TLT589865:TLT589887 TVP589865:TVP589887 UFL589865:UFL589887 UPH589865:UPH589887 UZD589865:UZD589887 VIZ589865:VIZ589887 VSV589865:VSV589887 WCR589865:WCR589887 WMN589865:WMN589887 WWJ589865:WWJ589887 AB655401:AB655423 JX655401:JX655423 TT655401:TT655423 ADP655401:ADP655423 ANL655401:ANL655423 AXH655401:AXH655423 BHD655401:BHD655423 BQZ655401:BQZ655423 CAV655401:CAV655423 CKR655401:CKR655423 CUN655401:CUN655423 DEJ655401:DEJ655423 DOF655401:DOF655423 DYB655401:DYB655423 EHX655401:EHX655423 ERT655401:ERT655423 FBP655401:FBP655423 FLL655401:FLL655423 FVH655401:FVH655423 GFD655401:GFD655423 GOZ655401:GOZ655423 GYV655401:GYV655423 HIR655401:HIR655423 HSN655401:HSN655423 ICJ655401:ICJ655423 IMF655401:IMF655423 IWB655401:IWB655423 JFX655401:JFX655423 JPT655401:JPT655423 JZP655401:JZP655423 KJL655401:KJL655423 KTH655401:KTH655423 LDD655401:LDD655423 LMZ655401:LMZ655423 LWV655401:LWV655423 MGR655401:MGR655423 MQN655401:MQN655423 NAJ655401:NAJ655423 NKF655401:NKF655423 NUB655401:NUB655423 ODX655401:ODX655423 ONT655401:ONT655423 OXP655401:OXP655423 PHL655401:PHL655423 PRH655401:PRH655423 QBD655401:QBD655423 QKZ655401:QKZ655423 QUV655401:QUV655423 RER655401:RER655423 RON655401:RON655423 RYJ655401:RYJ655423 SIF655401:SIF655423 SSB655401:SSB655423 TBX655401:TBX655423 TLT655401:TLT655423 TVP655401:TVP655423 UFL655401:UFL655423 UPH655401:UPH655423 UZD655401:UZD655423 VIZ655401:VIZ655423 VSV655401:VSV655423 WCR655401:WCR655423 WMN655401:WMN655423 WWJ655401:WWJ655423 AB720937:AB720959 JX720937:JX720959 TT720937:TT720959 ADP720937:ADP720959 ANL720937:ANL720959 AXH720937:AXH720959 BHD720937:BHD720959 BQZ720937:BQZ720959 CAV720937:CAV720959 CKR720937:CKR720959 CUN720937:CUN720959 DEJ720937:DEJ720959 DOF720937:DOF720959 DYB720937:DYB720959 EHX720937:EHX720959 ERT720937:ERT720959 FBP720937:FBP720959 FLL720937:FLL720959 FVH720937:FVH720959 GFD720937:GFD720959 GOZ720937:GOZ720959 GYV720937:GYV720959 HIR720937:HIR720959 HSN720937:HSN720959 ICJ720937:ICJ720959 IMF720937:IMF720959 IWB720937:IWB720959 JFX720937:JFX720959 JPT720937:JPT720959 JZP720937:JZP720959 KJL720937:KJL720959 KTH720937:KTH720959 LDD720937:LDD720959 LMZ720937:LMZ720959 LWV720937:LWV720959 MGR720937:MGR720959 MQN720937:MQN720959 NAJ720937:NAJ720959 NKF720937:NKF720959 NUB720937:NUB720959 ODX720937:ODX720959 ONT720937:ONT720959 OXP720937:OXP720959 PHL720937:PHL720959 PRH720937:PRH720959 QBD720937:QBD720959 QKZ720937:QKZ720959 QUV720937:QUV720959 RER720937:RER720959 RON720937:RON720959 RYJ720937:RYJ720959 SIF720937:SIF720959 SSB720937:SSB720959 TBX720937:TBX720959 TLT720937:TLT720959 TVP720937:TVP720959 UFL720937:UFL720959 UPH720937:UPH720959 UZD720937:UZD720959 VIZ720937:VIZ720959 VSV720937:VSV720959 WCR720937:WCR720959 WMN720937:WMN720959 WWJ720937:WWJ720959 AB786473:AB786495 JX786473:JX786495 TT786473:TT786495 ADP786473:ADP786495 ANL786473:ANL786495 AXH786473:AXH786495 BHD786473:BHD786495 BQZ786473:BQZ786495 CAV786473:CAV786495 CKR786473:CKR786495 CUN786473:CUN786495 DEJ786473:DEJ786495 DOF786473:DOF786495 DYB786473:DYB786495 EHX786473:EHX786495 ERT786473:ERT786495 FBP786473:FBP786495 FLL786473:FLL786495 FVH786473:FVH786495 GFD786473:GFD786495 GOZ786473:GOZ786495 GYV786473:GYV786495 HIR786473:HIR786495 HSN786473:HSN786495 ICJ786473:ICJ786495 IMF786473:IMF786495 IWB786473:IWB786495 JFX786473:JFX786495 JPT786473:JPT786495 JZP786473:JZP786495 KJL786473:KJL786495 KTH786473:KTH786495 LDD786473:LDD786495 LMZ786473:LMZ786495 LWV786473:LWV786495 MGR786473:MGR786495 MQN786473:MQN786495 NAJ786473:NAJ786495 NKF786473:NKF786495 NUB786473:NUB786495 ODX786473:ODX786495 ONT786473:ONT786495 OXP786473:OXP786495 PHL786473:PHL786495 PRH786473:PRH786495 QBD786473:QBD786495 QKZ786473:QKZ786495 QUV786473:QUV786495 RER786473:RER786495 RON786473:RON786495 RYJ786473:RYJ786495 SIF786473:SIF786495 SSB786473:SSB786495 TBX786473:TBX786495 TLT786473:TLT786495 TVP786473:TVP786495 UFL786473:UFL786495 UPH786473:UPH786495 UZD786473:UZD786495 VIZ786473:VIZ786495 VSV786473:VSV786495 WCR786473:WCR786495 WMN786473:WMN786495 WWJ786473:WWJ786495 AB852009:AB852031 JX852009:JX852031 TT852009:TT852031 ADP852009:ADP852031 ANL852009:ANL852031 AXH852009:AXH852031 BHD852009:BHD852031 BQZ852009:BQZ852031 CAV852009:CAV852031 CKR852009:CKR852031 CUN852009:CUN852031 DEJ852009:DEJ852031 DOF852009:DOF852031 DYB852009:DYB852031 EHX852009:EHX852031 ERT852009:ERT852031 FBP852009:FBP852031 FLL852009:FLL852031 FVH852009:FVH852031 GFD852009:GFD852031 GOZ852009:GOZ852031 GYV852009:GYV852031 HIR852009:HIR852031 HSN852009:HSN852031 ICJ852009:ICJ852031 IMF852009:IMF852031 IWB852009:IWB852031 JFX852009:JFX852031 JPT852009:JPT852031 JZP852009:JZP852031 KJL852009:KJL852031 KTH852009:KTH852031 LDD852009:LDD852031 LMZ852009:LMZ852031 LWV852009:LWV852031 MGR852009:MGR852031 MQN852009:MQN852031 NAJ852009:NAJ852031 NKF852009:NKF852031 NUB852009:NUB852031 ODX852009:ODX852031 ONT852009:ONT852031 OXP852009:OXP852031 PHL852009:PHL852031 PRH852009:PRH852031 QBD852009:QBD852031 QKZ852009:QKZ852031 QUV852009:QUV852031 RER852009:RER852031 RON852009:RON852031 RYJ852009:RYJ852031 SIF852009:SIF852031 SSB852009:SSB852031 TBX852009:TBX852031 TLT852009:TLT852031 TVP852009:TVP852031 UFL852009:UFL852031 UPH852009:UPH852031 UZD852009:UZD852031 VIZ852009:VIZ852031 VSV852009:VSV852031 WCR852009:WCR852031 WMN852009:WMN852031 WWJ852009:WWJ852031 AB917545:AB917567 JX917545:JX917567 TT917545:TT917567 ADP917545:ADP917567 ANL917545:ANL917567 AXH917545:AXH917567 BHD917545:BHD917567 BQZ917545:BQZ917567 CAV917545:CAV917567 CKR917545:CKR917567 CUN917545:CUN917567 DEJ917545:DEJ917567 DOF917545:DOF917567 DYB917545:DYB917567 EHX917545:EHX917567 ERT917545:ERT917567 FBP917545:FBP917567 FLL917545:FLL917567 FVH917545:FVH917567 GFD917545:GFD917567 GOZ917545:GOZ917567 GYV917545:GYV917567 HIR917545:HIR917567 HSN917545:HSN917567 ICJ917545:ICJ917567 IMF917545:IMF917567 IWB917545:IWB917567 JFX917545:JFX917567 JPT917545:JPT917567 JZP917545:JZP917567 KJL917545:KJL917567 KTH917545:KTH917567 LDD917545:LDD917567 LMZ917545:LMZ917567 LWV917545:LWV917567 MGR917545:MGR917567 MQN917545:MQN917567 NAJ917545:NAJ917567 NKF917545:NKF917567 NUB917545:NUB917567 ODX917545:ODX917567 ONT917545:ONT917567 OXP917545:OXP917567 PHL917545:PHL917567 PRH917545:PRH917567 QBD917545:QBD917567 QKZ917545:QKZ917567 QUV917545:QUV917567 RER917545:RER917567 RON917545:RON917567 RYJ917545:RYJ917567 SIF917545:SIF917567 SSB917545:SSB917567 TBX917545:TBX917567 TLT917545:TLT917567 TVP917545:TVP917567 UFL917545:UFL917567 UPH917545:UPH917567 UZD917545:UZD917567 VIZ917545:VIZ917567 VSV917545:VSV917567 WCR917545:WCR917567 WMN917545:WMN917567 WWJ917545:WWJ917567 AB983081:AB983103 JX983081:JX983103 TT983081:TT983103 ADP983081:ADP983103 ANL983081:ANL983103 AXH983081:AXH983103 BHD983081:BHD983103 BQZ983081:BQZ983103 CAV983081:CAV983103 CKR983081:CKR983103 CUN983081:CUN983103 DEJ983081:DEJ983103 DOF983081:DOF983103 DYB983081:DYB983103 EHX983081:EHX983103 ERT983081:ERT983103 FBP983081:FBP983103 FLL983081:FLL983103 FVH983081:FVH983103 GFD983081:GFD983103 GOZ983081:GOZ983103 GYV983081:GYV983103 HIR983081:HIR983103 HSN983081:HSN983103 ICJ983081:ICJ983103 IMF983081:IMF983103 IWB983081:IWB983103 JFX983081:JFX983103 JPT983081:JPT983103 JZP983081:JZP983103 KJL983081:KJL983103 KTH983081:KTH983103 LDD983081:LDD983103 LMZ983081:LMZ983103 LWV983081:LWV983103 MGR983081:MGR983103 MQN983081:MQN983103 NAJ983081:NAJ983103 NKF983081:NKF983103 NUB983081:NUB983103 ODX983081:ODX983103 ONT983081:ONT983103 OXP983081:OXP983103 PHL983081:PHL983103 PRH983081:PRH983103 QBD983081:QBD983103 QKZ983081:QKZ983103 QUV983081:QUV983103 RER983081:RER983103 RON983081:RON983103 RYJ983081:RYJ983103 SIF983081:SIF983103 SSB983081:SSB983103 TBX983081:TBX983103 TLT983081:TLT983103 TVP983081:TVP983103 UFL983081:UFL983103 UPH983081:UPH983103 UZD983081:UZD983103 VIZ983081:VIZ983103 VSV983081:VSV983103 WCR983081:WCR983103 WMN983081:WMN983103 WWJ983081:WWJ983103 Y41:Y63 JU41:JU63 TQ41:TQ63 ADM41:ADM63 ANI41:ANI63 AXE41:AXE63 BHA41:BHA63 BQW41:BQW63 CAS41:CAS63 CKO41:CKO63 CUK41:CUK63 DEG41:DEG63 DOC41:DOC63 DXY41:DXY63 EHU41:EHU63 ERQ41:ERQ63 FBM41:FBM63 FLI41:FLI63 FVE41:FVE63 GFA41:GFA63 GOW41:GOW63 GYS41:GYS63 HIO41:HIO63 HSK41:HSK63 ICG41:ICG63 IMC41:IMC63 IVY41:IVY63 JFU41:JFU63 JPQ41:JPQ63 JZM41:JZM63 KJI41:KJI63 KTE41:KTE63 LDA41:LDA63 LMW41:LMW63 LWS41:LWS63 MGO41:MGO63 MQK41:MQK63 NAG41:NAG63 NKC41:NKC63 NTY41:NTY63 ODU41:ODU63 ONQ41:ONQ63 OXM41:OXM63 PHI41:PHI63 PRE41:PRE63 QBA41:QBA63 QKW41:QKW63 QUS41:QUS63 REO41:REO63 ROK41:ROK63 RYG41:RYG63 SIC41:SIC63 SRY41:SRY63 TBU41:TBU63 TLQ41:TLQ63 TVM41:TVM63 UFI41:UFI63 UPE41:UPE63 UZA41:UZA63 VIW41:VIW63 VSS41:VSS63 WCO41:WCO63 WMK41:WMK63 WWG41:WWG63 Y65577:Y65599 JU65577:JU65599 TQ65577:TQ65599 ADM65577:ADM65599 ANI65577:ANI65599 AXE65577:AXE65599 BHA65577:BHA65599 BQW65577:BQW65599 CAS65577:CAS65599 CKO65577:CKO65599 CUK65577:CUK65599 DEG65577:DEG65599 DOC65577:DOC65599 DXY65577:DXY65599 EHU65577:EHU65599 ERQ65577:ERQ65599 FBM65577:FBM65599 FLI65577:FLI65599 FVE65577:FVE65599 GFA65577:GFA65599 GOW65577:GOW65599 GYS65577:GYS65599 HIO65577:HIO65599 HSK65577:HSK65599 ICG65577:ICG65599 IMC65577:IMC65599 IVY65577:IVY65599 JFU65577:JFU65599 JPQ65577:JPQ65599 JZM65577:JZM65599 KJI65577:KJI65599 KTE65577:KTE65599 LDA65577:LDA65599 LMW65577:LMW65599 LWS65577:LWS65599 MGO65577:MGO65599 MQK65577:MQK65599 NAG65577:NAG65599 NKC65577:NKC65599 NTY65577:NTY65599 ODU65577:ODU65599 ONQ65577:ONQ65599 OXM65577:OXM65599 PHI65577:PHI65599 PRE65577:PRE65599 QBA65577:QBA65599 QKW65577:QKW65599 QUS65577:QUS65599 REO65577:REO65599 ROK65577:ROK65599 RYG65577:RYG65599 SIC65577:SIC65599 SRY65577:SRY65599 TBU65577:TBU65599 TLQ65577:TLQ65599 TVM65577:TVM65599 UFI65577:UFI65599 UPE65577:UPE65599 UZA65577:UZA65599 VIW65577:VIW65599 VSS65577:VSS65599 WCO65577:WCO65599 WMK65577:WMK65599 WWG65577:WWG65599 Y131113:Y131135 JU131113:JU131135 TQ131113:TQ131135 ADM131113:ADM131135 ANI131113:ANI131135 AXE131113:AXE131135 BHA131113:BHA131135 BQW131113:BQW131135 CAS131113:CAS131135 CKO131113:CKO131135 CUK131113:CUK131135 DEG131113:DEG131135 DOC131113:DOC131135 DXY131113:DXY131135 EHU131113:EHU131135 ERQ131113:ERQ131135 FBM131113:FBM131135 FLI131113:FLI131135 FVE131113:FVE131135 GFA131113:GFA131135 GOW131113:GOW131135 GYS131113:GYS131135 HIO131113:HIO131135 HSK131113:HSK131135 ICG131113:ICG131135 IMC131113:IMC131135 IVY131113:IVY131135 JFU131113:JFU131135 JPQ131113:JPQ131135 JZM131113:JZM131135 KJI131113:KJI131135 KTE131113:KTE131135 LDA131113:LDA131135 LMW131113:LMW131135 LWS131113:LWS131135 MGO131113:MGO131135 MQK131113:MQK131135 NAG131113:NAG131135 NKC131113:NKC131135 NTY131113:NTY131135 ODU131113:ODU131135 ONQ131113:ONQ131135 OXM131113:OXM131135 PHI131113:PHI131135 PRE131113:PRE131135 QBA131113:QBA131135 QKW131113:QKW131135 QUS131113:QUS131135 REO131113:REO131135 ROK131113:ROK131135 RYG131113:RYG131135 SIC131113:SIC131135 SRY131113:SRY131135 TBU131113:TBU131135 TLQ131113:TLQ131135 TVM131113:TVM131135 UFI131113:UFI131135 UPE131113:UPE131135 UZA131113:UZA131135 VIW131113:VIW131135 VSS131113:VSS131135 WCO131113:WCO131135 WMK131113:WMK131135 WWG131113:WWG131135 Y196649:Y196671 JU196649:JU196671 TQ196649:TQ196671 ADM196649:ADM196671 ANI196649:ANI196671 AXE196649:AXE196671 BHA196649:BHA196671 BQW196649:BQW196671 CAS196649:CAS196671 CKO196649:CKO196671 CUK196649:CUK196671 DEG196649:DEG196671 DOC196649:DOC196671 DXY196649:DXY196671 EHU196649:EHU196671 ERQ196649:ERQ196671 FBM196649:FBM196671 FLI196649:FLI196671 FVE196649:FVE196671 GFA196649:GFA196671 GOW196649:GOW196671 GYS196649:GYS196671 HIO196649:HIO196671 HSK196649:HSK196671 ICG196649:ICG196671 IMC196649:IMC196671 IVY196649:IVY196671 JFU196649:JFU196671 JPQ196649:JPQ196671 JZM196649:JZM196671 KJI196649:KJI196671 KTE196649:KTE196671 LDA196649:LDA196671 LMW196649:LMW196671 LWS196649:LWS196671 MGO196649:MGO196671 MQK196649:MQK196671 NAG196649:NAG196671 NKC196649:NKC196671 NTY196649:NTY196671 ODU196649:ODU196671 ONQ196649:ONQ196671 OXM196649:OXM196671 PHI196649:PHI196671 PRE196649:PRE196671 QBA196649:QBA196671 QKW196649:QKW196671 QUS196649:QUS196671 REO196649:REO196671 ROK196649:ROK196671 RYG196649:RYG196671 SIC196649:SIC196671 SRY196649:SRY196671 TBU196649:TBU196671 TLQ196649:TLQ196671 TVM196649:TVM196671 UFI196649:UFI196671 UPE196649:UPE196671 UZA196649:UZA196671 VIW196649:VIW196671 VSS196649:VSS196671 WCO196649:WCO196671 WMK196649:WMK196671 WWG196649:WWG196671 Y262185:Y262207 JU262185:JU262207 TQ262185:TQ262207 ADM262185:ADM262207 ANI262185:ANI262207 AXE262185:AXE262207 BHA262185:BHA262207 BQW262185:BQW262207 CAS262185:CAS262207 CKO262185:CKO262207 CUK262185:CUK262207 DEG262185:DEG262207 DOC262185:DOC262207 DXY262185:DXY262207 EHU262185:EHU262207 ERQ262185:ERQ262207 FBM262185:FBM262207 FLI262185:FLI262207 FVE262185:FVE262207 GFA262185:GFA262207 GOW262185:GOW262207 GYS262185:GYS262207 HIO262185:HIO262207 HSK262185:HSK262207 ICG262185:ICG262207 IMC262185:IMC262207 IVY262185:IVY262207 JFU262185:JFU262207 JPQ262185:JPQ262207 JZM262185:JZM262207 KJI262185:KJI262207 KTE262185:KTE262207 LDA262185:LDA262207 LMW262185:LMW262207 LWS262185:LWS262207 MGO262185:MGO262207 MQK262185:MQK262207 NAG262185:NAG262207 NKC262185:NKC262207 NTY262185:NTY262207 ODU262185:ODU262207 ONQ262185:ONQ262207 OXM262185:OXM262207 PHI262185:PHI262207 PRE262185:PRE262207 QBA262185:QBA262207 QKW262185:QKW262207 QUS262185:QUS262207 REO262185:REO262207 ROK262185:ROK262207 RYG262185:RYG262207 SIC262185:SIC262207 SRY262185:SRY262207 TBU262185:TBU262207 TLQ262185:TLQ262207 TVM262185:TVM262207 UFI262185:UFI262207 UPE262185:UPE262207 UZA262185:UZA262207 VIW262185:VIW262207 VSS262185:VSS262207 WCO262185:WCO262207 WMK262185:WMK262207 WWG262185:WWG262207 Y327721:Y327743 JU327721:JU327743 TQ327721:TQ327743 ADM327721:ADM327743 ANI327721:ANI327743 AXE327721:AXE327743 BHA327721:BHA327743 BQW327721:BQW327743 CAS327721:CAS327743 CKO327721:CKO327743 CUK327721:CUK327743 DEG327721:DEG327743 DOC327721:DOC327743 DXY327721:DXY327743 EHU327721:EHU327743 ERQ327721:ERQ327743 FBM327721:FBM327743 FLI327721:FLI327743 FVE327721:FVE327743 GFA327721:GFA327743 GOW327721:GOW327743 GYS327721:GYS327743 HIO327721:HIO327743 HSK327721:HSK327743 ICG327721:ICG327743 IMC327721:IMC327743 IVY327721:IVY327743 JFU327721:JFU327743 JPQ327721:JPQ327743 JZM327721:JZM327743 KJI327721:KJI327743 KTE327721:KTE327743 LDA327721:LDA327743 LMW327721:LMW327743 LWS327721:LWS327743 MGO327721:MGO327743 MQK327721:MQK327743 NAG327721:NAG327743 NKC327721:NKC327743 NTY327721:NTY327743 ODU327721:ODU327743 ONQ327721:ONQ327743 OXM327721:OXM327743 PHI327721:PHI327743 PRE327721:PRE327743 QBA327721:QBA327743 QKW327721:QKW327743 QUS327721:QUS327743 REO327721:REO327743 ROK327721:ROK327743 RYG327721:RYG327743 SIC327721:SIC327743 SRY327721:SRY327743 TBU327721:TBU327743 TLQ327721:TLQ327743 TVM327721:TVM327743 UFI327721:UFI327743 UPE327721:UPE327743 UZA327721:UZA327743 VIW327721:VIW327743 VSS327721:VSS327743 WCO327721:WCO327743 WMK327721:WMK327743 WWG327721:WWG327743 Y393257:Y393279 JU393257:JU393279 TQ393257:TQ393279 ADM393257:ADM393279 ANI393257:ANI393279 AXE393257:AXE393279 BHA393257:BHA393279 BQW393257:BQW393279 CAS393257:CAS393279 CKO393257:CKO393279 CUK393257:CUK393279 DEG393257:DEG393279 DOC393257:DOC393279 DXY393257:DXY393279 EHU393257:EHU393279 ERQ393257:ERQ393279 FBM393257:FBM393279 FLI393257:FLI393279 FVE393257:FVE393279 GFA393257:GFA393279 GOW393257:GOW393279 GYS393257:GYS393279 HIO393257:HIO393279 HSK393257:HSK393279 ICG393257:ICG393279 IMC393257:IMC393279 IVY393257:IVY393279 JFU393257:JFU393279 JPQ393257:JPQ393279 JZM393257:JZM393279 KJI393257:KJI393279 KTE393257:KTE393279 LDA393257:LDA393279 LMW393257:LMW393279 LWS393257:LWS393279 MGO393257:MGO393279 MQK393257:MQK393279 NAG393257:NAG393279 NKC393257:NKC393279 NTY393257:NTY393279 ODU393257:ODU393279 ONQ393257:ONQ393279 OXM393257:OXM393279 PHI393257:PHI393279 PRE393257:PRE393279 QBA393257:QBA393279 QKW393257:QKW393279 QUS393257:QUS393279 REO393257:REO393279 ROK393257:ROK393279 RYG393257:RYG393279 SIC393257:SIC393279 SRY393257:SRY393279 TBU393257:TBU393279 TLQ393257:TLQ393279 TVM393257:TVM393279 UFI393257:UFI393279 UPE393257:UPE393279 UZA393257:UZA393279 VIW393257:VIW393279 VSS393257:VSS393279 WCO393257:WCO393279 WMK393257:WMK393279 WWG393257:WWG393279 Y458793:Y458815 JU458793:JU458815 TQ458793:TQ458815 ADM458793:ADM458815 ANI458793:ANI458815 AXE458793:AXE458815 BHA458793:BHA458815 BQW458793:BQW458815 CAS458793:CAS458815 CKO458793:CKO458815 CUK458793:CUK458815 DEG458793:DEG458815 DOC458793:DOC458815 DXY458793:DXY458815 EHU458793:EHU458815 ERQ458793:ERQ458815 FBM458793:FBM458815 FLI458793:FLI458815 FVE458793:FVE458815 GFA458793:GFA458815 GOW458793:GOW458815 GYS458793:GYS458815 HIO458793:HIO458815 HSK458793:HSK458815 ICG458793:ICG458815 IMC458793:IMC458815 IVY458793:IVY458815 JFU458793:JFU458815 JPQ458793:JPQ458815 JZM458793:JZM458815 KJI458793:KJI458815 KTE458793:KTE458815 LDA458793:LDA458815 LMW458793:LMW458815 LWS458793:LWS458815 MGO458793:MGO458815 MQK458793:MQK458815 NAG458793:NAG458815 NKC458793:NKC458815 NTY458793:NTY458815 ODU458793:ODU458815 ONQ458793:ONQ458815 OXM458793:OXM458815 PHI458793:PHI458815 PRE458793:PRE458815 QBA458793:QBA458815 QKW458793:QKW458815 QUS458793:QUS458815 REO458793:REO458815 ROK458793:ROK458815 RYG458793:RYG458815 SIC458793:SIC458815 SRY458793:SRY458815 TBU458793:TBU458815 TLQ458793:TLQ458815 TVM458793:TVM458815 UFI458793:UFI458815 UPE458793:UPE458815 UZA458793:UZA458815 VIW458793:VIW458815 VSS458793:VSS458815 WCO458793:WCO458815 WMK458793:WMK458815 WWG458793:WWG458815 Y524329:Y524351 JU524329:JU524351 TQ524329:TQ524351 ADM524329:ADM524351 ANI524329:ANI524351 AXE524329:AXE524351 BHA524329:BHA524351 BQW524329:BQW524351 CAS524329:CAS524351 CKO524329:CKO524351 CUK524329:CUK524351 DEG524329:DEG524351 DOC524329:DOC524351 DXY524329:DXY524351 EHU524329:EHU524351 ERQ524329:ERQ524351 FBM524329:FBM524351 FLI524329:FLI524351 FVE524329:FVE524351 GFA524329:GFA524351 GOW524329:GOW524351 GYS524329:GYS524351 HIO524329:HIO524351 HSK524329:HSK524351 ICG524329:ICG524351 IMC524329:IMC524351 IVY524329:IVY524351 JFU524329:JFU524351 JPQ524329:JPQ524351 JZM524329:JZM524351 KJI524329:KJI524351 KTE524329:KTE524351 LDA524329:LDA524351 LMW524329:LMW524351 LWS524329:LWS524351 MGO524329:MGO524351 MQK524329:MQK524351 NAG524329:NAG524351 NKC524329:NKC524351 NTY524329:NTY524351 ODU524329:ODU524351 ONQ524329:ONQ524351 OXM524329:OXM524351 PHI524329:PHI524351 PRE524329:PRE524351 QBA524329:QBA524351 QKW524329:QKW524351 QUS524329:QUS524351 REO524329:REO524351 ROK524329:ROK524351 RYG524329:RYG524351 SIC524329:SIC524351 SRY524329:SRY524351 TBU524329:TBU524351 TLQ524329:TLQ524351 TVM524329:TVM524351 UFI524329:UFI524351 UPE524329:UPE524351 UZA524329:UZA524351 VIW524329:VIW524351 VSS524329:VSS524351 WCO524329:WCO524351 WMK524329:WMK524351 WWG524329:WWG524351 Y589865:Y589887 JU589865:JU589887 TQ589865:TQ589887 ADM589865:ADM589887 ANI589865:ANI589887 AXE589865:AXE589887 BHA589865:BHA589887 BQW589865:BQW589887 CAS589865:CAS589887 CKO589865:CKO589887 CUK589865:CUK589887 DEG589865:DEG589887 DOC589865:DOC589887 DXY589865:DXY589887 EHU589865:EHU589887 ERQ589865:ERQ589887 FBM589865:FBM589887 FLI589865:FLI589887 FVE589865:FVE589887 GFA589865:GFA589887 GOW589865:GOW589887 GYS589865:GYS589887 HIO589865:HIO589887 HSK589865:HSK589887 ICG589865:ICG589887 IMC589865:IMC589887 IVY589865:IVY589887 JFU589865:JFU589887 JPQ589865:JPQ589887 JZM589865:JZM589887 KJI589865:KJI589887 KTE589865:KTE589887 LDA589865:LDA589887 LMW589865:LMW589887 LWS589865:LWS589887 MGO589865:MGO589887 MQK589865:MQK589887 NAG589865:NAG589887 NKC589865:NKC589887 NTY589865:NTY589887 ODU589865:ODU589887 ONQ589865:ONQ589887 OXM589865:OXM589887 PHI589865:PHI589887 PRE589865:PRE589887 QBA589865:QBA589887 QKW589865:QKW589887 QUS589865:QUS589887 REO589865:REO589887 ROK589865:ROK589887 RYG589865:RYG589887 SIC589865:SIC589887 SRY589865:SRY589887 TBU589865:TBU589887 TLQ589865:TLQ589887 TVM589865:TVM589887 UFI589865:UFI589887 UPE589865:UPE589887 UZA589865:UZA589887 VIW589865:VIW589887 VSS589865:VSS589887 WCO589865:WCO589887 WMK589865:WMK589887 WWG589865:WWG589887 Y655401:Y655423 JU655401:JU655423 TQ655401:TQ655423 ADM655401:ADM655423 ANI655401:ANI655423 AXE655401:AXE655423 BHA655401:BHA655423 BQW655401:BQW655423 CAS655401:CAS655423 CKO655401:CKO655423 CUK655401:CUK655423 DEG655401:DEG655423 DOC655401:DOC655423 DXY655401:DXY655423 EHU655401:EHU655423 ERQ655401:ERQ655423 FBM655401:FBM655423 FLI655401:FLI655423 FVE655401:FVE655423 GFA655401:GFA655423 GOW655401:GOW655423 GYS655401:GYS655423 HIO655401:HIO655423 HSK655401:HSK655423 ICG655401:ICG655423 IMC655401:IMC655423 IVY655401:IVY655423 JFU655401:JFU655423 JPQ655401:JPQ655423 JZM655401:JZM655423 KJI655401:KJI655423 KTE655401:KTE655423 LDA655401:LDA655423 LMW655401:LMW655423 LWS655401:LWS655423 MGO655401:MGO655423 MQK655401:MQK655423 NAG655401:NAG655423 NKC655401:NKC655423 NTY655401:NTY655423 ODU655401:ODU655423 ONQ655401:ONQ655423 OXM655401:OXM655423 PHI655401:PHI655423 PRE655401:PRE655423 QBA655401:QBA655423 QKW655401:QKW655423 QUS655401:QUS655423 REO655401:REO655423 ROK655401:ROK655423 RYG655401:RYG655423 SIC655401:SIC655423 SRY655401:SRY655423 TBU655401:TBU655423 TLQ655401:TLQ655423 TVM655401:TVM655423 UFI655401:UFI655423 UPE655401:UPE655423 UZA655401:UZA655423 VIW655401:VIW655423 VSS655401:VSS655423 WCO655401:WCO655423 WMK655401:WMK655423 WWG655401:WWG655423 Y720937:Y720959 JU720937:JU720959 TQ720937:TQ720959 ADM720937:ADM720959 ANI720937:ANI720959 AXE720937:AXE720959 BHA720937:BHA720959 BQW720937:BQW720959 CAS720937:CAS720959 CKO720937:CKO720959 CUK720937:CUK720959 DEG720937:DEG720959 DOC720937:DOC720959 DXY720937:DXY720959 EHU720937:EHU720959 ERQ720937:ERQ720959 FBM720937:FBM720959 FLI720937:FLI720959 FVE720937:FVE720959 GFA720937:GFA720959 GOW720937:GOW720959 GYS720937:GYS720959 HIO720937:HIO720959 HSK720937:HSK720959 ICG720937:ICG720959 IMC720937:IMC720959 IVY720937:IVY720959 JFU720937:JFU720959 JPQ720937:JPQ720959 JZM720937:JZM720959 KJI720937:KJI720959 KTE720937:KTE720959 LDA720937:LDA720959 LMW720937:LMW720959 LWS720937:LWS720959 MGO720937:MGO720959 MQK720937:MQK720959 NAG720937:NAG720959 NKC720937:NKC720959 NTY720937:NTY720959 ODU720937:ODU720959 ONQ720937:ONQ720959 OXM720937:OXM720959 PHI720937:PHI720959 PRE720937:PRE720959 QBA720937:QBA720959 QKW720937:QKW720959 QUS720937:QUS720959 REO720937:REO720959 ROK720937:ROK720959 RYG720937:RYG720959 SIC720937:SIC720959 SRY720937:SRY720959 TBU720937:TBU720959 TLQ720937:TLQ720959 TVM720937:TVM720959 UFI720937:UFI720959 UPE720937:UPE720959 UZA720937:UZA720959 VIW720937:VIW720959 VSS720937:VSS720959 WCO720937:WCO720959 WMK720937:WMK720959 WWG720937:WWG720959 Y786473:Y786495 JU786473:JU786495 TQ786473:TQ786495 ADM786473:ADM786495 ANI786473:ANI786495 AXE786473:AXE786495 BHA786473:BHA786495 BQW786473:BQW786495 CAS786473:CAS786495 CKO786473:CKO786495 CUK786473:CUK786495 DEG786473:DEG786495 DOC786473:DOC786495 DXY786473:DXY786495 EHU786473:EHU786495 ERQ786473:ERQ786495 FBM786473:FBM786495 FLI786473:FLI786495 FVE786473:FVE786495 GFA786473:GFA786495 GOW786473:GOW786495 GYS786473:GYS786495 HIO786473:HIO786495 HSK786473:HSK786495 ICG786473:ICG786495 IMC786473:IMC786495 IVY786473:IVY786495 JFU786473:JFU786495 JPQ786473:JPQ786495 JZM786473:JZM786495 KJI786473:KJI786495 KTE786473:KTE786495 LDA786473:LDA786495 LMW786473:LMW786495 LWS786473:LWS786495 MGO786473:MGO786495 MQK786473:MQK786495 NAG786473:NAG786495 NKC786473:NKC786495 NTY786473:NTY786495 ODU786473:ODU786495 ONQ786473:ONQ786495 OXM786473:OXM786495 PHI786473:PHI786495 PRE786473:PRE786495 QBA786473:QBA786495 QKW786473:QKW786495 QUS786473:QUS786495 REO786473:REO786495 ROK786473:ROK786495 RYG786473:RYG786495 SIC786473:SIC786495 SRY786473:SRY786495 TBU786473:TBU786495 TLQ786473:TLQ786495 TVM786473:TVM786495 UFI786473:UFI786495 UPE786473:UPE786495 UZA786473:UZA786495 VIW786473:VIW786495 VSS786473:VSS786495 WCO786473:WCO786495 WMK786473:WMK786495 WWG786473:WWG786495 Y852009:Y852031 JU852009:JU852031 TQ852009:TQ852031 ADM852009:ADM852031 ANI852009:ANI852031 AXE852009:AXE852031 BHA852009:BHA852031 BQW852009:BQW852031 CAS852009:CAS852031 CKO852009:CKO852031 CUK852009:CUK852031 DEG852009:DEG852031 DOC852009:DOC852031 DXY852009:DXY852031 EHU852009:EHU852031 ERQ852009:ERQ852031 FBM852009:FBM852031 FLI852009:FLI852031 FVE852009:FVE852031 GFA852009:GFA852031 GOW852009:GOW852031 GYS852009:GYS852031 HIO852009:HIO852031 HSK852009:HSK852031 ICG852009:ICG852031 IMC852009:IMC852031 IVY852009:IVY852031 JFU852009:JFU852031 JPQ852009:JPQ852031 JZM852009:JZM852031 KJI852009:KJI852031 KTE852009:KTE852031 LDA852009:LDA852031 LMW852009:LMW852031 LWS852009:LWS852031 MGO852009:MGO852031 MQK852009:MQK852031 NAG852009:NAG852031 NKC852009:NKC852031 NTY852009:NTY852031 ODU852009:ODU852031 ONQ852009:ONQ852031 OXM852009:OXM852031 PHI852009:PHI852031 PRE852009:PRE852031 QBA852009:QBA852031 QKW852009:QKW852031 QUS852009:QUS852031 REO852009:REO852031 ROK852009:ROK852031 RYG852009:RYG852031 SIC852009:SIC852031 SRY852009:SRY852031 TBU852009:TBU852031 TLQ852009:TLQ852031 TVM852009:TVM852031 UFI852009:UFI852031 UPE852009:UPE852031 UZA852009:UZA852031 VIW852009:VIW852031 VSS852009:VSS852031 WCO852009:WCO852031 WMK852009:WMK852031 WWG852009:WWG852031 Y917545:Y917567 JU917545:JU917567 TQ917545:TQ917567 ADM917545:ADM917567 ANI917545:ANI917567 AXE917545:AXE917567 BHA917545:BHA917567 BQW917545:BQW917567 CAS917545:CAS917567 CKO917545:CKO917567 CUK917545:CUK917567 DEG917545:DEG917567 DOC917545:DOC917567 DXY917545:DXY917567 EHU917545:EHU917567 ERQ917545:ERQ917567 FBM917545:FBM917567 FLI917545:FLI917567 FVE917545:FVE917567 GFA917545:GFA917567 GOW917545:GOW917567 GYS917545:GYS917567 HIO917545:HIO917567 HSK917545:HSK917567 ICG917545:ICG917567 IMC917545:IMC917567 IVY917545:IVY917567 JFU917545:JFU917567 JPQ917545:JPQ917567 JZM917545:JZM917567 KJI917545:KJI917567 KTE917545:KTE917567 LDA917545:LDA917567 LMW917545:LMW917567 LWS917545:LWS917567 MGO917545:MGO917567 MQK917545:MQK917567 NAG917545:NAG917567 NKC917545:NKC917567 NTY917545:NTY917567 ODU917545:ODU917567 ONQ917545:ONQ917567 OXM917545:OXM917567 PHI917545:PHI917567 PRE917545:PRE917567 QBA917545:QBA917567 QKW917545:QKW917567 QUS917545:QUS917567 REO917545:REO917567 ROK917545:ROK917567 RYG917545:RYG917567 SIC917545:SIC917567 SRY917545:SRY917567 TBU917545:TBU917567 TLQ917545:TLQ917567 TVM917545:TVM917567 UFI917545:UFI917567 UPE917545:UPE917567 UZA917545:UZA917567 VIW917545:VIW917567 VSS917545:VSS917567 WCO917545:WCO917567 WMK917545:WMK917567 WWG917545:WWG917567 Y983081:Y983103 JU983081:JU983103 TQ983081:TQ983103 ADM983081:ADM983103 ANI983081:ANI983103 AXE983081:AXE983103 BHA983081:BHA983103 BQW983081:BQW983103 CAS983081:CAS983103 CKO983081:CKO983103 CUK983081:CUK983103 DEG983081:DEG983103 DOC983081:DOC983103 DXY983081:DXY983103 EHU983081:EHU983103 ERQ983081:ERQ983103 FBM983081:FBM983103 FLI983081:FLI983103 FVE983081:FVE983103 GFA983081:GFA983103 GOW983081:GOW983103 GYS983081:GYS983103 HIO983081:HIO983103 HSK983081:HSK983103 ICG983081:ICG983103 IMC983081:IMC983103 IVY983081:IVY983103 JFU983081:JFU983103 JPQ983081:JPQ983103 JZM983081:JZM983103 KJI983081:KJI983103 KTE983081:KTE983103 LDA983081:LDA983103 LMW983081:LMW983103 LWS983081:LWS983103 MGO983081:MGO983103 MQK983081:MQK983103 NAG983081:NAG983103 NKC983081:NKC983103 NTY983081:NTY983103 ODU983081:ODU983103 ONQ983081:ONQ983103 OXM983081:OXM983103 PHI983081:PHI983103 PRE983081:PRE983103 QBA983081:QBA983103 QKW983081:QKW983103 QUS983081:QUS983103 REO983081:REO983103 ROK983081:ROK983103 RYG983081:RYG983103 SIC983081:SIC983103 SRY983081:SRY983103 TBU983081:TBU983103 TLQ983081:TLQ983103 TVM983081:TVM983103 UFI983081:UFI983103 UPE983081:UPE983103 UZA983081:UZA983103 VIW983081:VIW983103 VSS983081:VSS983103 WCO983081:WCO983103 WMK983081:WMK983103 WWG983081:WWG983103 V41:V63 JR41:JR63 TN41:TN63 ADJ41:ADJ63 ANF41:ANF63 AXB41:AXB63 BGX41:BGX63 BQT41:BQT63 CAP41:CAP63 CKL41:CKL63 CUH41:CUH63 DED41:DED63 DNZ41:DNZ63 DXV41:DXV63 EHR41:EHR63 ERN41:ERN63 FBJ41:FBJ63 FLF41:FLF63 FVB41:FVB63 GEX41:GEX63 GOT41:GOT63 GYP41:GYP63 HIL41:HIL63 HSH41:HSH63 ICD41:ICD63 ILZ41:ILZ63 IVV41:IVV63 JFR41:JFR63 JPN41:JPN63 JZJ41:JZJ63 KJF41:KJF63 KTB41:KTB63 LCX41:LCX63 LMT41:LMT63 LWP41:LWP63 MGL41:MGL63 MQH41:MQH63 NAD41:NAD63 NJZ41:NJZ63 NTV41:NTV63 ODR41:ODR63 ONN41:ONN63 OXJ41:OXJ63 PHF41:PHF63 PRB41:PRB63 QAX41:QAX63 QKT41:QKT63 QUP41:QUP63 REL41:REL63 ROH41:ROH63 RYD41:RYD63 SHZ41:SHZ63 SRV41:SRV63 TBR41:TBR63 TLN41:TLN63 TVJ41:TVJ63 UFF41:UFF63 UPB41:UPB63 UYX41:UYX63 VIT41:VIT63 VSP41:VSP63 WCL41:WCL63 WMH41:WMH63 WWD41:WWD63 V65577:V65599 JR65577:JR65599 TN65577:TN65599 ADJ65577:ADJ65599 ANF65577:ANF65599 AXB65577:AXB65599 BGX65577:BGX65599 BQT65577:BQT65599 CAP65577:CAP65599 CKL65577:CKL65599 CUH65577:CUH65599 DED65577:DED65599 DNZ65577:DNZ65599 DXV65577:DXV65599 EHR65577:EHR65599 ERN65577:ERN65599 FBJ65577:FBJ65599 FLF65577:FLF65599 FVB65577:FVB65599 GEX65577:GEX65599 GOT65577:GOT65599 GYP65577:GYP65599 HIL65577:HIL65599 HSH65577:HSH65599 ICD65577:ICD65599 ILZ65577:ILZ65599 IVV65577:IVV65599 JFR65577:JFR65599 JPN65577:JPN65599 JZJ65577:JZJ65599 KJF65577:KJF65599 KTB65577:KTB65599 LCX65577:LCX65599 LMT65577:LMT65599 LWP65577:LWP65599 MGL65577:MGL65599 MQH65577:MQH65599 NAD65577:NAD65599 NJZ65577:NJZ65599 NTV65577:NTV65599 ODR65577:ODR65599 ONN65577:ONN65599 OXJ65577:OXJ65599 PHF65577:PHF65599 PRB65577:PRB65599 QAX65577:QAX65599 QKT65577:QKT65599 QUP65577:QUP65599 REL65577:REL65599 ROH65577:ROH65599 RYD65577:RYD65599 SHZ65577:SHZ65599 SRV65577:SRV65599 TBR65577:TBR65599 TLN65577:TLN65599 TVJ65577:TVJ65599 UFF65577:UFF65599 UPB65577:UPB65599 UYX65577:UYX65599 VIT65577:VIT65599 VSP65577:VSP65599 WCL65577:WCL65599 WMH65577:WMH65599 WWD65577:WWD65599 V131113:V131135 JR131113:JR131135 TN131113:TN131135 ADJ131113:ADJ131135 ANF131113:ANF131135 AXB131113:AXB131135 BGX131113:BGX131135 BQT131113:BQT131135 CAP131113:CAP131135 CKL131113:CKL131135 CUH131113:CUH131135 DED131113:DED131135 DNZ131113:DNZ131135 DXV131113:DXV131135 EHR131113:EHR131135 ERN131113:ERN131135 FBJ131113:FBJ131135 FLF131113:FLF131135 FVB131113:FVB131135 GEX131113:GEX131135 GOT131113:GOT131135 GYP131113:GYP131135 HIL131113:HIL131135 HSH131113:HSH131135 ICD131113:ICD131135 ILZ131113:ILZ131135 IVV131113:IVV131135 JFR131113:JFR131135 JPN131113:JPN131135 JZJ131113:JZJ131135 KJF131113:KJF131135 KTB131113:KTB131135 LCX131113:LCX131135 LMT131113:LMT131135 LWP131113:LWP131135 MGL131113:MGL131135 MQH131113:MQH131135 NAD131113:NAD131135 NJZ131113:NJZ131135 NTV131113:NTV131135 ODR131113:ODR131135 ONN131113:ONN131135 OXJ131113:OXJ131135 PHF131113:PHF131135 PRB131113:PRB131135 QAX131113:QAX131135 QKT131113:QKT131135 QUP131113:QUP131135 REL131113:REL131135 ROH131113:ROH131135 RYD131113:RYD131135 SHZ131113:SHZ131135 SRV131113:SRV131135 TBR131113:TBR131135 TLN131113:TLN131135 TVJ131113:TVJ131135 UFF131113:UFF131135 UPB131113:UPB131135 UYX131113:UYX131135 VIT131113:VIT131135 VSP131113:VSP131135 WCL131113:WCL131135 WMH131113:WMH131135 WWD131113:WWD131135 V196649:V196671 JR196649:JR196671 TN196649:TN196671 ADJ196649:ADJ196671 ANF196649:ANF196671 AXB196649:AXB196671 BGX196649:BGX196671 BQT196649:BQT196671 CAP196649:CAP196671 CKL196649:CKL196671 CUH196649:CUH196671 DED196649:DED196671 DNZ196649:DNZ196671 DXV196649:DXV196671 EHR196649:EHR196671 ERN196649:ERN196671 FBJ196649:FBJ196671 FLF196649:FLF196671 FVB196649:FVB196671 GEX196649:GEX196671 GOT196649:GOT196671 GYP196649:GYP196671 HIL196649:HIL196671 HSH196649:HSH196671 ICD196649:ICD196671 ILZ196649:ILZ196671 IVV196649:IVV196671 JFR196649:JFR196671 JPN196649:JPN196671 JZJ196649:JZJ196671 KJF196649:KJF196671 KTB196649:KTB196671 LCX196649:LCX196671 LMT196649:LMT196671 LWP196649:LWP196671 MGL196649:MGL196671 MQH196649:MQH196671 NAD196649:NAD196671 NJZ196649:NJZ196671 NTV196649:NTV196671 ODR196649:ODR196671 ONN196649:ONN196671 OXJ196649:OXJ196671 PHF196649:PHF196671 PRB196649:PRB196671 QAX196649:QAX196671 QKT196649:QKT196671 QUP196649:QUP196671 REL196649:REL196671 ROH196649:ROH196671 RYD196649:RYD196671 SHZ196649:SHZ196671 SRV196649:SRV196671 TBR196649:TBR196671 TLN196649:TLN196671 TVJ196649:TVJ196671 UFF196649:UFF196671 UPB196649:UPB196671 UYX196649:UYX196671 VIT196649:VIT196671 VSP196649:VSP196671 WCL196649:WCL196671 WMH196649:WMH196671 WWD196649:WWD196671 V262185:V262207 JR262185:JR262207 TN262185:TN262207 ADJ262185:ADJ262207 ANF262185:ANF262207 AXB262185:AXB262207 BGX262185:BGX262207 BQT262185:BQT262207 CAP262185:CAP262207 CKL262185:CKL262207 CUH262185:CUH262207 DED262185:DED262207 DNZ262185:DNZ262207 DXV262185:DXV262207 EHR262185:EHR262207 ERN262185:ERN262207 FBJ262185:FBJ262207 FLF262185:FLF262207 FVB262185:FVB262207 GEX262185:GEX262207 GOT262185:GOT262207 GYP262185:GYP262207 HIL262185:HIL262207 HSH262185:HSH262207 ICD262185:ICD262207 ILZ262185:ILZ262207 IVV262185:IVV262207 JFR262185:JFR262207 JPN262185:JPN262207 JZJ262185:JZJ262207 KJF262185:KJF262207 KTB262185:KTB262207 LCX262185:LCX262207 LMT262185:LMT262207 LWP262185:LWP262207 MGL262185:MGL262207 MQH262185:MQH262207 NAD262185:NAD262207 NJZ262185:NJZ262207 NTV262185:NTV262207 ODR262185:ODR262207 ONN262185:ONN262207 OXJ262185:OXJ262207 PHF262185:PHF262207 PRB262185:PRB262207 QAX262185:QAX262207 QKT262185:QKT262207 QUP262185:QUP262207 REL262185:REL262207 ROH262185:ROH262207 RYD262185:RYD262207 SHZ262185:SHZ262207 SRV262185:SRV262207 TBR262185:TBR262207 TLN262185:TLN262207 TVJ262185:TVJ262207 UFF262185:UFF262207 UPB262185:UPB262207 UYX262185:UYX262207 VIT262185:VIT262207 VSP262185:VSP262207 WCL262185:WCL262207 WMH262185:WMH262207 WWD262185:WWD262207 V327721:V327743 JR327721:JR327743 TN327721:TN327743 ADJ327721:ADJ327743 ANF327721:ANF327743 AXB327721:AXB327743 BGX327721:BGX327743 BQT327721:BQT327743 CAP327721:CAP327743 CKL327721:CKL327743 CUH327721:CUH327743 DED327721:DED327743 DNZ327721:DNZ327743 DXV327721:DXV327743 EHR327721:EHR327743 ERN327721:ERN327743 FBJ327721:FBJ327743 FLF327721:FLF327743 FVB327721:FVB327743 GEX327721:GEX327743 GOT327721:GOT327743 GYP327721:GYP327743 HIL327721:HIL327743 HSH327721:HSH327743 ICD327721:ICD327743 ILZ327721:ILZ327743 IVV327721:IVV327743 JFR327721:JFR327743 JPN327721:JPN327743 JZJ327721:JZJ327743 KJF327721:KJF327743 KTB327721:KTB327743 LCX327721:LCX327743 LMT327721:LMT327743 LWP327721:LWP327743 MGL327721:MGL327743 MQH327721:MQH327743 NAD327721:NAD327743 NJZ327721:NJZ327743 NTV327721:NTV327743 ODR327721:ODR327743 ONN327721:ONN327743 OXJ327721:OXJ327743 PHF327721:PHF327743 PRB327721:PRB327743 QAX327721:QAX327743 QKT327721:QKT327743 QUP327721:QUP327743 REL327721:REL327743 ROH327721:ROH327743 RYD327721:RYD327743 SHZ327721:SHZ327743 SRV327721:SRV327743 TBR327721:TBR327743 TLN327721:TLN327743 TVJ327721:TVJ327743 UFF327721:UFF327743 UPB327721:UPB327743 UYX327721:UYX327743 VIT327721:VIT327743 VSP327721:VSP327743 WCL327721:WCL327743 WMH327721:WMH327743 WWD327721:WWD327743 V393257:V393279 JR393257:JR393279 TN393257:TN393279 ADJ393257:ADJ393279 ANF393257:ANF393279 AXB393257:AXB393279 BGX393257:BGX393279 BQT393257:BQT393279 CAP393257:CAP393279 CKL393257:CKL393279 CUH393257:CUH393279 DED393257:DED393279 DNZ393257:DNZ393279 DXV393257:DXV393279 EHR393257:EHR393279 ERN393257:ERN393279 FBJ393257:FBJ393279 FLF393257:FLF393279 FVB393257:FVB393279 GEX393257:GEX393279 GOT393257:GOT393279 GYP393257:GYP393279 HIL393257:HIL393279 HSH393257:HSH393279 ICD393257:ICD393279 ILZ393257:ILZ393279 IVV393257:IVV393279 JFR393257:JFR393279 JPN393257:JPN393279 JZJ393257:JZJ393279 KJF393257:KJF393279 KTB393257:KTB393279 LCX393257:LCX393279 LMT393257:LMT393279 LWP393257:LWP393279 MGL393257:MGL393279 MQH393257:MQH393279 NAD393257:NAD393279 NJZ393257:NJZ393279 NTV393257:NTV393279 ODR393257:ODR393279 ONN393257:ONN393279 OXJ393257:OXJ393279 PHF393257:PHF393279 PRB393257:PRB393279 QAX393257:QAX393279 QKT393257:QKT393279 QUP393257:QUP393279 REL393257:REL393279 ROH393257:ROH393279 RYD393257:RYD393279 SHZ393257:SHZ393279 SRV393257:SRV393279 TBR393257:TBR393279 TLN393257:TLN393279 TVJ393257:TVJ393279 UFF393257:UFF393279 UPB393257:UPB393279 UYX393257:UYX393279 VIT393257:VIT393279 VSP393257:VSP393279 WCL393257:WCL393279 WMH393257:WMH393279 WWD393257:WWD393279 V458793:V458815 JR458793:JR458815 TN458793:TN458815 ADJ458793:ADJ458815 ANF458793:ANF458815 AXB458793:AXB458815 BGX458793:BGX458815 BQT458793:BQT458815 CAP458793:CAP458815 CKL458793:CKL458815 CUH458793:CUH458815 DED458793:DED458815 DNZ458793:DNZ458815 DXV458793:DXV458815 EHR458793:EHR458815 ERN458793:ERN458815 FBJ458793:FBJ458815 FLF458793:FLF458815 FVB458793:FVB458815 GEX458793:GEX458815 GOT458793:GOT458815 GYP458793:GYP458815 HIL458793:HIL458815 HSH458793:HSH458815 ICD458793:ICD458815 ILZ458793:ILZ458815 IVV458793:IVV458815 JFR458793:JFR458815 JPN458793:JPN458815 JZJ458793:JZJ458815 KJF458793:KJF458815 KTB458793:KTB458815 LCX458793:LCX458815 LMT458793:LMT458815 LWP458793:LWP458815 MGL458793:MGL458815 MQH458793:MQH458815 NAD458793:NAD458815 NJZ458793:NJZ458815 NTV458793:NTV458815 ODR458793:ODR458815 ONN458793:ONN458815 OXJ458793:OXJ458815 PHF458793:PHF458815 PRB458793:PRB458815 QAX458793:QAX458815 QKT458793:QKT458815 QUP458793:QUP458815 REL458793:REL458815 ROH458793:ROH458815 RYD458793:RYD458815 SHZ458793:SHZ458815 SRV458793:SRV458815 TBR458793:TBR458815 TLN458793:TLN458815 TVJ458793:TVJ458815 UFF458793:UFF458815 UPB458793:UPB458815 UYX458793:UYX458815 VIT458793:VIT458815 VSP458793:VSP458815 WCL458793:WCL458815 WMH458793:WMH458815 WWD458793:WWD458815 V524329:V524351 JR524329:JR524351 TN524329:TN524351 ADJ524329:ADJ524351 ANF524329:ANF524351 AXB524329:AXB524351 BGX524329:BGX524351 BQT524329:BQT524351 CAP524329:CAP524351 CKL524329:CKL524351 CUH524329:CUH524351 DED524329:DED524351 DNZ524329:DNZ524351 DXV524329:DXV524351 EHR524329:EHR524351 ERN524329:ERN524351 FBJ524329:FBJ524351 FLF524329:FLF524351 FVB524329:FVB524351 GEX524329:GEX524351 GOT524329:GOT524351 GYP524329:GYP524351 HIL524329:HIL524351 HSH524329:HSH524351 ICD524329:ICD524351 ILZ524329:ILZ524351 IVV524329:IVV524351 JFR524329:JFR524351 JPN524329:JPN524351 JZJ524329:JZJ524351 KJF524329:KJF524351 KTB524329:KTB524351 LCX524329:LCX524351 LMT524329:LMT524351 LWP524329:LWP524351 MGL524329:MGL524351 MQH524329:MQH524351 NAD524329:NAD524351 NJZ524329:NJZ524351 NTV524329:NTV524351 ODR524329:ODR524351 ONN524329:ONN524351 OXJ524329:OXJ524351 PHF524329:PHF524351 PRB524329:PRB524351 QAX524329:QAX524351 QKT524329:QKT524351 QUP524329:QUP524351 REL524329:REL524351 ROH524329:ROH524351 RYD524329:RYD524351 SHZ524329:SHZ524351 SRV524329:SRV524351 TBR524329:TBR524351 TLN524329:TLN524351 TVJ524329:TVJ524351 UFF524329:UFF524351 UPB524329:UPB524351 UYX524329:UYX524351 VIT524329:VIT524351 VSP524329:VSP524351 WCL524329:WCL524351 WMH524329:WMH524351 WWD524329:WWD524351 V589865:V589887 JR589865:JR589887 TN589865:TN589887 ADJ589865:ADJ589887 ANF589865:ANF589887 AXB589865:AXB589887 BGX589865:BGX589887 BQT589865:BQT589887 CAP589865:CAP589887 CKL589865:CKL589887 CUH589865:CUH589887 DED589865:DED589887 DNZ589865:DNZ589887 DXV589865:DXV589887 EHR589865:EHR589887 ERN589865:ERN589887 FBJ589865:FBJ589887 FLF589865:FLF589887 FVB589865:FVB589887 GEX589865:GEX589887 GOT589865:GOT589887 GYP589865:GYP589887 HIL589865:HIL589887 HSH589865:HSH589887 ICD589865:ICD589887 ILZ589865:ILZ589887 IVV589865:IVV589887 JFR589865:JFR589887 JPN589865:JPN589887 JZJ589865:JZJ589887 KJF589865:KJF589887 KTB589865:KTB589887 LCX589865:LCX589887 LMT589865:LMT589887 LWP589865:LWP589887 MGL589865:MGL589887 MQH589865:MQH589887 NAD589865:NAD589887 NJZ589865:NJZ589887 NTV589865:NTV589887 ODR589865:ODR589887 ONN589865:ONN589887 OXJ589865:OXJ589887 PHF589865:PHF589887 PRB589865:PRB589887 QAX589865:QAX589887 QKT589865:QKT589887 QUP589865:QUP589887 REL589865:REL589887 ROH589865:ROH589887 RYD589865:RYD589887 SHZ589865:SHZ589887 SRV589865:SRV589887 TBR589865:TBR589887 TLN589865:TLN589887 TVJ589865:TVJ589887 UFF589865:UFF589887 UPB589865:UPB589887 UYX589865:UYX589887 VIT589865:VIT589887 VSP589865:VSP589887 WCL589865:WCL589887 WMH589865:WMH589887 WWD589865:WWD589887 V655401:V655423 JR655401:JR655423 TN655401:TN655423 ADJ655401:ADJ655423 ANF655401:ANF655423 AXB655401:AXB655423 BGX655401:BGX655423 BQT655401:BQT655423 CAP655401:CAP655423 CKL655401:CKL655423 CUH655401:CUH655423 DED655401:DED655423 DNZ655401:DNZ655423 DXV655401:DXV655423 EHR655401:EHR655423 ERN655401:ERN655423 FBJ655401:FBJ655423 FLF655401:FLF655423 FVB655401:FVB655423 GEX655401:GEX655423 GOT655401:GOT655423 GYP655401:GYP655423 HIL655401:HIL655423 HSH655401:HSH655423 ICD655401:ICD655423 ILZ655401:ILZ655423 IVV655401:IVV655423 JFR655401:JFR655423 JPN655401:JPN655423 JZJ655401:JZJ655423 KJF655401:KJF655423 KTB655401:KTB655423 LCX655401:LCX655423 LMT655401:LMT655423 LWP655401:LWP655423 MGL655401:MGL655423 MQH655401:MQH655423 NAD655401:NAD655423 NJZ655401:NJZ655423 NTV655401:NTV655423 ODR655401:ODR655423 ONN655401:ONN655423 OXJ655401:OXJ655423 PHF655401:PHF655423 PRB655401:PRB655423 QAX655401:QAX655423 QKT655401:QKT655423 QUP655401:QUP655423 REL655401:REL655423 ROH655401:ROH655423 RYD655401:RYD655423 SHZ655401:SHZ655423 SRV655401:SRV655423 TBR655401:TBR655423 TLN655401:TLN655423 TVJ655401:TVJ655423 UFF655401:UFF655423 UPB655401:UPB655423 UYX655401:UYX655423 VIT655401:VIT655423 VSP655401:VSP655423 WCL655401:WCL655423 WMH655401:WMH655423 WWD655401:WWD655423 V720937:V720959 JR720937:JR720959 TN720937:TN720959 ADJ720937:ADJ720959 ANF720937:ANF720959 AXB720937:AXB720959 BGX720937:BGX720959 BQT720937:BQT720959 CAP720937:CAP720959 CKL720937:CKL720959 CUH720937:CUH720959 DED720937:DED720959 DNZ720937:DNZ720959 DXV720937:DXV720959 EHR720937:EHR720959 ERN720937:ERN720959 FBJ720937:FBJ720959 FLF720937:FLF720959 FVB720937:FVB720959 GEX720937:GEX720959 GOT720937:GOT720959 GYP720937:GYP720959 HIL720937:HIL720959 HSH720937:HSH720959 ICD720937:ICD720959 ILZ720937:ILZ720959 IVV720937:IVV720959 JFR720937:JFR720959 JPN720937:JPN720959 JZJ720937:JZJ720959 KJF720937:KJF720959 KTB720937:KTB720959 LCX720937:LCX720959 LMT720937:LMT720959 LWP720937:LWP720959 MGL720937:MGL720959 MQH720937:MQH720959 NAD720937:NAD720959 NJZ720937:NJZ720959 NTV720937:NTV720959 ODR720937:ODR720959 ONN720937:ONN720959 OXJ720937:OXJ720959 PHF720937:PHF720959 PRB720937:PRB720959 QAX720937:QAX720959 QKT720937:QKT720959 QUP720937:QUP720959 REL720937:REL720959 ROH720937:ROH720959 RYD720937:RYD720959 SHZ720937:SHZ720959 SRV720937:SRV720959 TBR720937:TBR720959 TLN720937:TLN720959 TVJ720937:TVJ720959 UFF720937:UFF720959 UPB720937:UPB720959 UYX720937:UYX720959 VIT720937:VIT720959 VSP720937:VSP720959 WCL720937:WCL720959 WMH720937:WMH720959 WWD720937:WWD720959 V786473:V786495 JR786473:JR786495 TN786473:TN786495 ADJ786473:ADJ786495 ANF786473:ANF786495 AXB786473:AXB786495 BGX786473:BGX786495 BQT786473:BQT786495 CAP786473:CAP786495 CKL786473:CKL786495 CUH786473:CUH786495 DED786473:DED786495 DNZ786473:DNZ786495 DXV786473:DXV786495 EHR786473:EHR786495 ERN786473:ERN786495 FBJ786473:FBJ786495 FLF786473:FLF786495 FVB786473:FVB786495 GEX786473:GEX786495 GOT786473:GOT786495 GYP786473:GYP786495 HIL786473:HIL786495 HSH786473:HSH786495 ICD786473:ICD786495 ILZ786473:ILZ786495 IVV786473:IVV786495 JFR786473:JFR786495 JPN786473:JPN786495 JZJ786473:JZJ786495 KJF786473:KJF786495 KTB786473:KTB786495 LCX786473:LCX786495 LMT786473:LMT786495 LWP786473:LWP786495 MGL786473:MGL786495 MQH786473:MQH786495 NAD786473:NAD786495 NJZ786473:NJZ786495 NTV786473:NTV786495 ODR786473:ODR786495 ONN786473:ONN786495 OXJ786473:OXJ786495 PHF786473:PHF786495 PRB786473:PRB786495 QAX786473:QAX786495 QKT786473:QKT786495 QUP786473:QUP786495 REL786473:REL786495 ROH786473:ROH786495 RYD786473:RYD786495 SHZ786473:SHZ786495 SRV786473:SRV786495 TBR786473:TBR786495 TLN786473:TLN786495 TVJ786473:TVJ786495 UFF786473:UFF786495 UPB786473:UPB786495 UYX786473:UYX786495 VIT786473:VIT786495 VSP786473:VSP786495 WCL786473:WCL786495 WMH786473:WMH786495 WWD786473:WWD786495 V852009:V852031 JR852009:JR852031 TN852009:TN852031 ADJ852009:ADJ852031 ANF852009:ANF852031 AXB852009:AXB852031 BGX852009:BGX852031 BQT852009:BQT852031 CAP852009:CAP852031 CKL852009:CKL852031 CUH852009:CUH852031 DED852009:DED852031 DNZ852009:DNZ852031 DXV852009:DXV852031 EHR852009:EHR852031 ERN852009:ERN852031 FBJ852009:FBJ852031 FLF852009:FLF852031 FVB852009:FVB852031 GEX852009:GEX852031 GOT852009:GOT852031 GYP852009:GYP852031 HIL852009:HIL852031 HSH852009:HSH852031 ICD852009:ICD852031 ILZ852009:ILZ852031 IVV852009:IVV852031 JFR852009:JFR852031 JPN852009:JPN852031 JZJ852009:JZJ852031 KJF852009:KJF852031 KTB852009:KTB852031 LCX852009:LCX852031 LMT852009:LMT852031 LWP852009:LWP852031 MGL852009:MGL852031 MQH852009:MQH852031 NAD852009:NAD852031 NJZ852009:NJZ852031 NTV852009:NTV852031 ODR852009:ODR852031 ONN852009:ONN852031 OXJ852009:OXJ852031 PHF852009:PHF852031 PRB852009:PRB852031 QAX852009:QAX852031 QKT852009:QKT852031 QUP852009:QUP852031 REL852009:REL852031 ROH852009:ROH852031 RYD852009:RYD852031 SHZ852009:SHZ852031 SRV852009:SRV852031 TBR852009:TBR852031 TLN852009:TLN852031 TVJ852009:TVJ852031 UFF852009:UFF852031 UPB852009:UPB852031 UYX852009:UYX852031 VIT852009:VIT852031 VSP852009:VSP852031 WCL852009:WCL852031 WMH852009:WMH852031 WWD852009:WWD852031 V917545:V917567 JR917545:JR917567 TN917545:TN917567 ADJ917545:ADJ917567 ANF917545:ANF917567 AXB917545:AXB917567 BGX917545:BGX917567 BQT917545:BQT917567 CAP917545:CAP917567 CKL917545:CKL917567 CUH917545:CUH917567 DED917545:DED917567 DNZ917545:DNZ917567 DXV917545:DXV917567 EHR917545:EHR917567 ERN917545:ERN917567 FBJ917545:FBJ917567 FLF917545:FLF917567 FVB917545:FVB917567 GEX917545:GEX917567 GOT917545:GOT917567 GYP917545:GYP917567 HIL917545:HIL917567 HSH917545:HSH917567 ICD917545:ICD917567 ILZ917545:ILZ917567 IVV917545:IVV917567 JFR917545:JFR917567 JPN917545:JPN917567 JZJ917545:JZJ917567 KJF917545:KJF917567 KTB917545:KTB917567 LCX917545:LCX917567 LMT917545:LMT917567 LWP917545:LWP917567 MGL917545:MGL917567 MQH917545:MQH917567 NAD917545:NAD917567 NJZ917545:NJZ917567 NTV917545:NTV917567 ODR917545:ODR917567 ONN917545:ONN917567 OXJ917545:OXJ917567 PHF917545:PHF917567 PRB917545:PRB917567 QAX917545:QAX917567 QKT917545:QKT917567 QUP917545:QUP917567 REL917545:REL917567 ROH917545:ROH917567 RYD917545:RYD917567 SHZ917545:SHZ917567 SRV917545:SRV917567 TBR917545:TBR917567 TLN917545:TLN917567 TVJ917545:TVJ917567 UFF917545:UFF917567 UPB917545:UPB917567 UYX917545:UYX917567 VIT917545:VIT917567 VSP917545:VSP917567 WCL917545:WCL917567 WMH917545:WMH917567 WWD917545:WWD917567 V983081:V983103 JR983081:JR983103 TN983081:TN983103 ADJ983081:ADJ983103 ANF983081:ANF983103 AXB983081:AXB983103 BGX983081:BGX983103 BQT983081:BQT983103 CAP983081:CAP983103 CKL983081:CKL983103 CUH983081:CUH983103 DED983081:DED983103 DNZ983081:DNZ983103 DXV983081:DXV983103 EHR983081:EHR983103 ERN983081:ERN983103 FBJ983081:FBJ983103 FLF983081:FLF983103 FVB983081:FVB983103 GEX983081:GEX983103 GOT983081:GOT983103 GYP983081:GYP983103 HIL983081:HIL983103 HSH983081:HSH983103 ICD983081:ICD983103 ILZ983081:ILZ983103 IVV983081:IVV983103 JFR983081:JFR983103 JPN983081:JPN983103 JZJ983081:JZJ983103 KJF983081:KJF983103 KTB983081:KTB983103 LCX983081:LCX983103 LMT983081:LMT983103 LWP983081:LWP983103 MGL983081:MGL983103 MQH983081:MQH983103 NAD983081:NAD983103 NJZ983081:NJZ983103 NTV983081:NTV983103 ODR983081:ODR983103 ONN983081:ONN983103 OXJ983081:OXJ983103 PHF983081:PHF983103 PRB983081:PRB983103 QAX983081:QAX983103 QKT983081:QKT983103 QUP983081:QUP983103 REL983081:REL983103 ROH983081:ROH983103 RYD983081:RYD983103 SHZ983081:SHZ983103 SRV983081:SRV983103 TBR983081:TBR983103 TLN983081:TLN983103 TVJ983081:TVJ983103 UFF983081:UFF983103 UPB983081:UPB983103 UYX983081:UYX983103 VIT983081:VIT983103 VSP983081:VSP983103 WCL983081:WCL983103 WMH983081:WMH983103 WWD983081:WWD983103" xr:uid="{D784B339-9794-4BC7-A82F-6C715D87B7B6}">
      <formula1>"□,■"</formula1>
    </dataValidation>
    <dataValidation type="list" allowBlank="1" showInputMessage="1" showErrorMessage="1" sqref="O41:P63 JK41:JL63 TG41:TH63 ADC41:ADD63 AMY41:AMZ63 AWU41:AWV63 BGQ41:BGR63 BQM41:BQN63 CAI41:CAJ63 CKE41:CKF63 CUA41:CUB63 DDW41:DDX63 DNS41:DNT63 DXO41:DXP63 EHK41:EHL63 ERG41:ERH63 FBC41:FBD63 FKY41:FKZ63 FUU41:FUV63 GEQ41:GER63 GOM41:GON63 GYI41:GYJ63 HIE41:HIF63 HSA41:HSB63 IBW41:IBX63 ILS41:ILT63 IVO41:IVP63 JFK41:JFL63 JPG41:JPH63 JZC41:JZD63 KIY41:KIZ63 KSU41:KSV63 LCQ41:LCR63 LMM41:LMN63 LWI41:LWJ63 MGE41:MGF63 MQA41:MQB63 MZW41:MZX63 NJS41:NJT63 NTO41:NTP63 ODK41:ODL63 ONG41:ONH63 OXC41:OXD63 PGY41:PGZ63 PQU41:PQV63 QAQ41:QAR63 QKM41:QKN63 QUI41:QUJ63 REE41:REF63 ROA41:ROB63 RXW41:RXX63 SHS41:SHT63 SRO41:SRP63 TBK41:TBL63 TLG41:TLH63 TVC41:TVD63 UEY41:UEZ63 UOU41:UOV63 UYQ41:UYR63 VIM41:VIN63 VSI41:VSJ63 WCE41:WCF63 WMA41:WMB63 WVW41:WVX63 O65577:P65599 JK65577:JL65599 TG65577:TH65599 ADC65577:ADD65599 AMY65577:AMZ65599 AWU65577:AWV65599 BGQ65577:BGR65599 BQM65577:BQN65599 CAI65577:CAJ65599 CKE65577:CKF65599 CUA65577:CUB65599 DDW65577:DDX65599 DNS65577:DNT65599 DXO65577:DXP65599 EHK65577:EHL65599 ERG65577:ERH65599 FBC65577:FBD65599 FKY65577:FKZ65599 FUU65577:FUV65599 GEQ65577:GER65599 GOM65577:GON65599 GYI65577:GYJ65599 HIE65577:HIF65599 HSA65577:HSB65599 IBW65577:IBX65599 ILS65577:ILT65599 IVO65577:IVP65599 JFK65577:JFL65599 JPG65577:JPH65599 JZC65577:JZD65599 KIY65577:KIZ65599 KSU65577:KSV65599 LCQ65577:LCR65599 LMM65577:LMN65599 LWI65577:LWJ65599 MGE65577:MGF65599 MQA65577:MQB65599 MZW65577:MZX65599 NJS65577:NJT65599 NTO65577:NTP65599 ODK65577:ODL65599 ONG65577:ONH65599 OXC65577:OXD65599 PGY65577:PGZ65599 PQU65577:PQV65599 QAQ65577:QAR65599 QKM65577:QKN65599 QUI65577:QUJ65599 REE65577:REF65599 ROA65577:ROB65599 RXW65577:RXX65599 SHS65577:SHT65599 SRO65577:SRP65599 TBK65577:TBL65599 TLG65577:TLH65599 TVC65577:TVD65599 UEY65577:UEZ65599 UOU65577:UOV65599 UYQ65577:UYR65599 VIM65577:VIN65599 VSI65577:VSJ65599 WCE65577:WCF65599 WMA65577:WMB65599 WVW65577:WVX65599 O131113:P131135 JK131113:JL131135 TG131113:TH131135 ADC131113:ADD131135 AMY131113:AMZ131135 AWU131113:AWV131135 BGQ131113:BGR131135 BQM131113:BQN131135 CAI131113:CAJ131135 CKE131113:CKF131135 CUA131113:CUB131135 DDW131113:DDX131135 DNS131113:DNT131135 DXO131113:DXP131135 EHK131113:EHL131135 ERG131113:ERH131135 FBC131113:FBD131135 FKY131113:FKZ131135 FUU131113:FUV131135 GEQ131113:GER131135 GOM131113:GON131135 GYI131113:GYJ131135 HIE131113:HIF131135 HSA131113:HSB131135 IBW131113:IBX131135 ILS131113:ILT131135 IVO131113:IVP131135 JFK131113:JFL131135 JPG131113:JPH131135 JZC131113:JZD131135 KIY131113:KIZ131135 KSU131113:KSV131135 LCQ131113:LCR131135 LMM131113:LMN131135 LWI131113:LWJ131135 MGE131113:MGF131135 MQA131113:MQB131135 MZW131113:MZX131135 NJS131113:NJT131135 NTO131113:NTP131135 ODK131113:ODL131135 ONG131113:ONH131135 OXC131113:OXD131135 PGY131113:PGZ131135 PQU131113:PQV131135 QAQ131113:QAR131135 QKM131113:QKN131135 QUI131113:QUJ131135 REE131113:REF131135 ROA131113:ROB131135 RXW131113:RXX131135 SHS131113:SHT131135 SRO131113:SRP131135 TBK131113:TBL131135 TLG131113:TLH131135 TVC131113:TVD131135 UEY131113:UEZ131135 UOU131113:UOV131135 UYQ131113:UYR131135 VIM131113:VIN131135 VSI131113:VSJ131135 WCE131113:WCF131135 WMA131113:WMB131135 WVW131113:WVX131135 O196649:P196671 JK196649:JL196671 TG196649:TH196671 ADC196649:ADD196671 AMY196649:AMZ196671 AWU196649:AWV196671 BGQ196649:BGR196671 BQM196649:BQN196671 CAI196649:CAJ196671 CKE196649:CKF196671 CUA196649:CUB196671 DDW196649:DDX196671 DNS196649:DNT196671 DXO196649:DXP196671 EHK196649:EHL196671 ERG196649:ERH196671 FBC196649:FBD196671 FKY196649:FKZ196671 FUU196649:FUV196671 GEQ196649:GER196671 GOM196649:GON196671 GYI196649:GYJ196671 HIE196649:HIF196671 HSA196649:HSB196671 IBW196649:IBX196671 ILS196649:ILT196671 IVO196649:IVP196671 JFK196649:JFL196671 JPG196649:JPH196671 JZC196649:JZD196671 KIY196649:KIZ196671 KSU196649:KSV196671 LCQ196649:LCR196671 LMM196649:LMN196671 LWI196649:LWJ196671 MGE196649:MGF196671 MQA196649:MQB196671 MZW196649:MZX196671 NJS196649:NJT196671 NTO196649:NTP196671 ODK196649:ODL196671 ONG196649:ONH196671 OXC196649:OXD196671 PGY196649:PGZ196671 PQU196649:PQV196671 QAQ196649:QAR196671 QKM196649:QKN196671 QUI196649:QUJ196671 REE196649:REF196671 ROA196649:ROB196671 RXW196649:RXX196671 SHS196649:SHT196671 SRO196649:SRP196671 TBK196649:TBL196671 TLG196649:TLH196671 TVC196649:TVD196671 UEY196649:UEZ196671 UOU196649:UOV196671 UYQ196649:UYR196671 VIM196649:VIN196671 VSI196649:VSJ196671 WCE196649:WCF196671 WMA196649:WMB196671 WVW196649:WVX196671 O262185:P262207 JK262185:JL262207 TG262185:TH262207 ADC262185:ADD262207 AMY262185:AMZ262207 AWU262185:AWV262207 BGQ262185:BGR262207 BQM262185:BQN262207 CAI262185:CAJ262207 CKE262185:CKF262207 CUA262185:CUB262207 DDW262185:DDX262207 DNS262185:DNT262207 DXO262185:DXP262207 EHK262185:EHL262207 ERG262185:ERH262207 FBC262185:FBD262207 FKY262185:FKZ262207 FUU262185:FUV262207 GEQ262185:GER262207 GOM262185:GON262207 GYI262185:GYJ262207 HIE262185:HIF262207 HSA262185:HSB262207 IBW262185:IBX262207 ILS262185:ILT262207 IVO262185:IVP262207 JFK262185:JFL262207 JPG262185:JPH262207 JZC262185:JZD262207 KIY262185:KIZ262207 KSU262185:KSV262207 LCQ262185:LCR262207 LMM262185:LMN262207 LWI262185:LWJ262207 MGE262185:MGF262207 MQA262185:MQB262207 MZW262185:MZX262207 NJS262185:NJT262207 NTO262185:NTP262207 ODK262185:ODL262207 ONG262185:ONH262207 OXC262185:OXD262207 PGY262185:PGZ262207 PQU262185:PQV262207 QAQ262185:QAR262207 QKM262185:QKN262207 QUI262185:QUJ262207 REE262185:REF262207 ROA262185:ROB262207 RXW262185:RXX262207 SHS262185:SHT262207 SRO262185:SRP262207 TBK262185:TBL262207 TLG262185:TLH262207 TVC262185:TVD262207 UEY262185:UEZ262207 UOU262185:UOV262207 UYQ262185:UYR262207 VIM262185:VIN262207 VSI262185:VSJ262207 WCE262185:WCF262207 WMA262185:WMB262207 WVW262185:WVX262207 O327721:P327743 JK327721:JL327743 TG327721:TH327743 ADC327721:ADD327743 AMY327721:AMZ327743 AWU327721:AWV327743 BGQ327721:BGR327743 BQM327721:BQN327743 CAI327721:CAJ327743 CKE327721:CKF327743 CUA327721:CUB327743 DDW327721:DDX327743 DNS327721:DNT327743 DXO327721:DXP327743 EHK327721:EHL327743 ERG327721:ERH327743 FBC327721:FBD327743 FKY327721:FKZ327743 FUU327721:FUV327743 GEQ327721:GER327743 GOM327721:GON327743 GYI327721:GYJ327743 HIE327721:HIF327743 HSA327721:HSB327743 IBW327721:IBX327743 ILS327721:ILT327743 IVO327721:IVP327743 JFK327721:JFL327743 JPG327721:JPH327743 JZC327721:JZD327743 KIY327721:KIZ327743 KSU327721:KSV327743 LCQ327721:LCR327743 LMM327721:LMN327743 LWI327721:LWJ327743 MGE327721:MGF327743 MQA327721:MQB327743 MZW327721:MZX327743 NJS327721:NJT327743 NTO327721:NTP327743 ODK327721:ODL327743 ONG327721:ONH327743 OXC327721:OXD327743 PGY327721:PGZ327743 PQU327721:PQV327743 QAQ327721:QAR327743 QKM327721:QKN327743 QUI327721:QUJ327743 REE327721:REF327743 ROA327721:ROB327743 RXW327721:RXX327743 SHS327721:SHT327743 SRO327721:SRP327743 TBK327721:TBL327743 TLG327721:TLH327743 TVC327721:TVD327743 UEY327721:UEZ327743 UOU327721:UOV327743 UYQ327721:UYR327743 VIM327721:VIN327743 VSI327721:VSJ327743 WCE327721:WCF327743 WMA327721:WMB327743 WVW327721:WVX327743 O393257:P393279 JK393257:JL393279 TG393257:TH393279 ADC393257:ADD393279 AMY393257:AMZ393279 AWU393257:AWV393279 BGQ393257:BGR393279 BQM393257:BQN393279 CAI393257:CAJ393279 CKE393257:CKF393279 CUA393257:CUB393279 DDW393257:DDX393279 DNS393257:DNT393279 DXO393257:DXP393279 EHK393257:EHL393279 ERG393257:ERH393279 FBC393257:FBD393279 FKY393257:FKZ393279 FUU393257:FUV393279 GEQ393257:GER393279 GOM393257:GON393279 GYI393257:GYJ393279 HIE393257:HIF393279 HSA393257:HSB393279 IBW393257:IBX393279 ILS393257:ILT393279 IVO393257:IVP393279 JFK393257:JFL393279 JPG393257:JPH393279 JZC393257:JZD393279 KIY393257:KIZ393279 KSU393257:KSV393279 LCQ393257:LCR393279 LMM393257:LMN393279 LWI393257:LWJ393279 MGE393257:MGF393279 MQA393257:MQB393279 MZW393257:MZX393279 NJS393257:NJT393279 NTO393257:NTP393279 ODK393257:ODL393279 ONG393257:ONH393279 OXC393257:OXD393279 PGY393257:PGZ393279 PQU393257:PQV393279 QAQ393257:QAR393279 QKM393257:QKN393279 QUI393257:QUJ393279 REE393257:REF393279 ROA393257:ROB393279 RXW393257:RXX393279 SHS393257:SHT393279 SRO393257:SRP393279 TBK393257:TBL393279 TLG393257:TLH393279 TVC393257:TVD393279 UEY393257:UEZ393279 UOU393257:UOV393279 UYQ393257:UYR393279 VIM393257:VIN393279 VSI393257:VSJ393279 WCE393257:WCF393279 WMA393257:WMB393279 WVW393257:WVX393279 O458793:P458815 JK458793:JL458815 TG458793:TH458815 ADC458793:ADD458815 AMY458793:AMZ458815 AWU458793:AWV458815 BGQ458793:BGR458815 BQM458793:BQN458815 CAI458793:CAJ458815 CKE458793:CKF458815 CUA458793:CUB458815 DDW458793:DDX458815 DNS458793:DNT458815 DXO458793:DXP458815 EHK458793:EHL458815 ERG458793:ERH458815 FBC458793:FBD458815 FKY458793:FKZ458815 FUU458793:FUV458815 GEQ458793:GER458815 GOM458793:GON458815 GYI458793:GYJ458815 HIE458793:HIF458815 HSA458793:HSB458815 IBW458793:IBX458815 ILS458793:ILT458815 IVO458793:IVP458815 JFK458793:JFL458815 JPG458793:JPH458815 JZC458793:JZD458815 KIY458793:KIZ458815 KSU458793:KSV458815 LCQ458793:LCR458815 LMM458793:LMN458815 LWI458793:LWJ458815 MGE458793:MGF458815 MQA458793:MQB458815 MZW458793:MZX458815 NJS458793:NJT458815 NTO458793:NTP458815 ODK458793:ODL458815 ONG458793:ONH458815 OXC458793:OXD458815 PGY458793:PGZ458815 PQU458793:PQV458815 QAQ458793:QAR458815 QKM458793:QKN458815 QUI458793:QUJ458815 REE458793:REF458815 ROA458793:ROB458815 RXW458793:RXX458815 SHS458793:SHT458815 SRO458793:SRP458815 TBK458793:TBL458815 TLG458793:TLH458815 TVC458793:TVD458815 UEY458793:UEZ458815 UOU458793:UOV458815 UYQ458793:UYR458815 VIM458793:VIN458815 VSI458793:VSJ458815 WCE458793:WCF458815 WMA458793:WMB458815 WVW458793:WVX458815 O524329:P524351 JK524329:JL524351 TG524329:TH524351 ADC524329:ADD524351 AMY524329:AMZ524351 AWU524329:AWV524351 BGQ524329:BGR524351 BQM524329:BQN524351 CAI524329:CAJ524351 CKE524329:CKF524351 CUA524329:CUB524351 DDW524329:DDX524351 DNS524329:DNT524351 DXO524329:DXP524351 EHK524329:EHL524351 ERG524329:ERH524351 FBC524329:FBD524351 FKY524329:FKZ524351 FUU524329:FUV524351 GEQ524329:GER524351 GOM524329:GON524351 GYI524329:GYJ524351 HIE524329:HIF524351 HSA524329:HSB524351 IBW524329:IBX524351 ILS524329:ILT524351 IVO524329:IVP524351 JFK524329:JFL524351 JPG524329:JPH524351 JZC524329:JZD524351 KIY524329:KIZ524351 KSU524329:KSV524351 LCQ524329:LCR524351 LMM524329:LMN524351 LWI524329:LWJ524351 MGE524329:MGF524351 MQA524329:MQB524351 MZW524329:MZX524351 NJS524329:NJT524351 NTO524329:NTP524351 ODK524329:ODL524351 ONG524329:ONH524351 OXC524329:OXD524351 PGY524329:PGZ524351 PQU524329:PQV524351 QAQ524329:QAR524351 QKM524329:QKN524351 QUI524329:QUJ524351 REE524329:REF524351 ROA524329:ROB524351 RXW524329:RXX524351 SHS524329:SHT524351 SRO524329:SRP524351 TBK524329:TBL524351 TLG524329:TLH524351 TVC524329:TVD524351 UEY524329:UEZ524351 UOU524329:UOV524351 UYQ524329:UYR524351 VIM524329:VIN524351 VSI524329:VSJ524351 WCE524329:WCF524351 WMA524329:WMB524351 WVW524329:WVX524351 O589865:P589887 JK589865:JL589887 TG589865:TH589887 ADC589865:ADD589887 AMY589865:AMZ589887 AWU589865:AWV589887 BGQ589865:BGR589887 BQM589865:BQN589887 CAI589865:CAJ589887 CKE589865:CKF589887 CUA589865:CUB589887 DDW589865:DDX589887 DNS589865:DNT589887 DXO589865:DXP589887 EHK589865:EHL589887 ERG589865:ERH589887 FBC589865:FBD589887 FKY589865:FKZ589887 FUU589865:FUV589887 GEQ589865:GER589887 GOM589865:GON589887 GYI589865:GYJ589887 HIE589865:HIF589887 HSA589865:HSB589887 IBW589865:IBX589887 ILS589865:ILT589887 IVO589865:IVP589887 JFK589865:JFL589887 JPG589865:JPH589887 JZC589865:JZD589887 KIY589865:KIZ589887 KSU589865:KSV589887 LCQ589865:LCR589887 LMM589865:LMN589887 LWI589865:LWJ589887 MGE589865:MGF589887 MQA589865:MQB589887 MZW589865:MZX589887 NJS589865:NJT589887 NTO589865:NTP589887 ODK589865:ODL589887 ONG589865:ONH589887 OXC589865:OXD589887 PGY589865:PGZ589887 PQU589865:PQV589887 QAQ589865:QAR589887 QKM589865:QKN589887 QUI589865:QUJ589887 REE589865:REF589887 ROA589865:ROB589887 RXW589865:RXX589887 SHS589865:SHT589887 SRO589865:SRP589887 TBK589865:TBL589887 TLG589865:TLH589887 TVC589865:TVD589887 UEY589865:UEZ589887 UOU589865:UOV589887 UYQ589865:UYR589887 VIM589865:VIN589887 VSI589865:VSJ589887 WCE589865:WCF589887 WMA589865:WMB589887 WVW589865:WVX589887 O655401:P655423 JK655401:JL655423 TG655401:TH655423 ADC655401:ADD655423 AMY655401:AMZ655423 AWU655401:AWV655423 BGQ655401:BGR655423 BQM655401:BQN655423 CAI655401:CAJ655423 CKE655401:CKF655423 CUA655401:CUB655423 DDW655401:DDX655423 DNS655401:DNT655423 DXO655401:DXP655423 EHK655401:EHL655423 ERG655401:ERH655423 FBC655401:FBD655423 FKY655401:FKZ655423 FUU655401:FUV655423 GEQ655401:GER655423 GOM655401:GON655423 GYI655401:GYJ655423 HIE655401:HIF655423 HSA655401:HSB655423 IBW655401:IBX655423 ILS655401:ILT655423 IVO655401:IVP655423 JFK655401:JFL655423 JPG655401:JPH655423 JZC655401:JZD655423 KIY655401:KIZ655423 KSU655401:KSV655423 LCQ655401:LCR655423 LMM655401:LMN655423 LWI655401:LWJ655423 MGE655401:MGF655423 MQA655401:MQB655423 MZW655401:MZX655423 NJS655401:NJT655423 NTO655401:NTP655423 ODK655401:ODL655423 ONG655401:ONH655423 OXC655401:OXD655423 PGY655401:PGZ655423 PQU655401:PQV655423 QAQ655401:QAR655423 QKM655401:QKN655423 QUI655401:QUJ655423 REE655401:REF655423 ROA655401:ROB655423 RXW655401:RXX655423 SHS655401:SHT655423 SRO655401:SRP655423 TBK655401:TBL655423 TLG655401:TLH655423 TVC655401:TVD655423 UEY655401:UEZ655423 UOU655401:UOV655423 UYQ655401:UYR655423 VIM655401:VIN655423 VSI655401:VSJ655423 WCE655401:WCF655423 WMA655401:WMB655423 WVW655401:WVX655423 O720937:P720959 JK720937:JL720959 TG720937:TH720959 ADC720937:ADD720959 AMY720937:AMZ720959 AWU720937:AWV720959 BGQ720937:BGR720959 BQM720937:BQN720959 CAI720937:CAJ720959 CKE720937:CKF720959 CUA720937:CUB720959 DDW720937:DDX720959 DNS720937:DNT720959 DXO720937:DXP720959 EHK720937:EHL720959 ERG720937:ERH720959 FBC720937:FBD720959 FKY720937:FKZ720959 FUU720937:FUV720959 GEQ720937:GER720959 GOM720937:GON720959 GYI720937:GYJ720959 HIE720937:HIF720959 HSA720937:HSB720959 IBW720937:IBX720959 ILS720937:ILT720959 IVO720937:IVP720959 JFK720937:JFL720959 JPG720937:JPH720959 JZC720937:JZD720959 KIY720937:KIZ720959 KSU720937:KSV720959 LCQ720937:LCR720959 LMM720937:LMN720959 LWI720937:LWJ720959 MGE720937:MGF720959 MQA720937:MQB720959 MZW720937:MZX720959 NJS720937:NJT720959 NTO720937:NTP720959 ODK720937:ODL720959 ONG720937:ONH720959 OXC720937:OXD720959 PGY720937:PGZ720959 PQU720937:PQV720959 QAQ720937:QAR720959 QKM720937:QKN720959 QUI720937:QUJ720959 REE720937:REF720959 ROA720937:ROB720959 RXW720937:RXX720959 SHS720937:SHT720959 SRO720937:SRP720959 TBK720937:TBL720959 TLG720937:TLH720959 TVC720937:TVD720959 UEY720937:UEZ720959 UOU720937:UOV720959 UYQ720937:UYR720959 VIM720937:VIN720959 VSI720937:VSJ720959 WCE720937:WCF720959 WMA720937:WMB720959 WVW720937:WVX720959 O786473:P786495 JK786473:JL786495 TG786473:TH786495 ADC786473:ADD786495 AMY786473:AMZ786495 AWU786473:AWV786495 BGQ786473:BGR786495 BQM786473:BQN786495 CAI786473:CAJ786495 CKE786473:CKF786495 CUA786473:CUB786495 DDW786473:DDX786495 DNS786473:DNT786495 DXO786473:DXP786495 EHK786473:EHL786495 ERG786473:ERH786495 FBC786473:FBD786495 FKY786473:FKZ786495 FUU786473:FUV786495 GEQ786473:GER786495 GOM786473:GON786495 GYI786473:GYJ786495 HIE786473:HIF786495 HSA786473:HSB786495 IBW786473:IBX786495 ILS786473:ILT786495 IVO786473:IVP786495 JFK786473:JFL786495 JPG786473:JPH786495 JZC786473:JZD786495 KIY786473:KIZ786495 KSU786473:KSV786495 LCQ786473:LCR786495 LMM786473:LMN786495 LWI786473:LWJ786495 MGE786473:MGF786495 MQA786473:MQB786495 MZW786473:MZX786495 NJS786473:NJT786495 NTO786473:NTP786495 ODK786473:ODL786495 ONG786473:ONH786495 OXC786473:OXD786495 PGY786473:PGZ786495 PQU786473:PQV786495 QAQ786473:QAR786495 QKM786473:QKN786495 QUI786473:QUJ786495 REE786473:REF786495 ROA786473:ROB786495 RXW786473:RXX786495 SHS786473:SHT786495 SRO786473:SRP786495 TBK786473:TBL786495 TLG786473:TLH786495 TVC786473:TVD786495 UEY786473:UEZ786495 UOU786473:UOV786495 UYQ786473:UYR786495 VIM786473:VIN786495 VSI786473:VSJ786495 WCE786473:WCF786495 WMA786473:WMB786495 WVW786473:WVX786495 O852009:P852031 JK852009:JL852031 TG852009:TH852031 ADC852009:ADD852031 AMY852009:AMZ852031 AWU852009:AWV852031 BGQ852009:BGR852031 BQM852009:BQN852031 CAI852009:CAJ852031 CKE852009:CKF852031 CUA852009:CUB852031 DDW852009:DDX852031 DNS852009:DNT852031 DXO852009:DXP852031 EHK852009:EHL852031 ERG852009:ERH852031 FBC852009:FBD852031 FKY852009:FKZ852031 FUU852009:FUV852031 GEQ852009:GER852031 GOM852009:GON852031 GYI852009:GYJ852031 HIE852009:HIF852031 HSA852009:HSB852031 IBW852009:IBX852031 ILS852009:ILT852031 IVO852009:IVP852031 JFK852009:JFL852031 JPG852009:JPH852031 JZC852009:JZD852031 KIY852009:KIZ852031 KSU852009:KSV852031 LCQ852009:LCR852031 LMM852009:LMN852031 LWI852009:LWJ852031 MGE852009:MGF852031 MQA852009:MQB852031 MZW852009:MZX852031 NJS852009:NJT852031 NTO852009:NTP852031 ODK852009:ODL852031 ONG852009:ONH852031 OXC852009:OXD852031 PGY852009:PGZ852031 PQU852009:PQV852031 QAQ852009:QAR852031 QKM852009:QKN852031 QUI852009:QUJ852031 REE852009:REF852031 ROA852009:ROB852031 RXW852009:RXX852031 SHS852009:SHT852031 SRO852009:SRP852031 TBK852009:TBL852031 TLG852009:TLH852031 TVC852009:TVD852031 UEY852009:UEZ852031 UOU852009:UOV852031 UYQ852009:UYR852031 VIM852009:VIN852031 VSI852009:VSJ852031 WCE852009:WCF852031 WMA852009:WMB852031 WVW852009:WVX852031 O917545:P917567 JK917545:JL917567 TG917545:TH917567 ADC917545:ADD917567 AMY917545:AMZ917567 AWU917545:AWV917567 BGQ917545:BGR917567 BQM917545:BQN917567 CAI917545:CAJ917567 CKE917545:CKF917567 CUA917545:CUB917567 DDW917545:DDX917567 DNS917545:DNT917567 DXO917545:DXP917567 EHK917545:EHL917567 ERG917545:ERH917567 FBC917545:FBD917567 FKY917545:FKZ917567 FUU917545:FUV917567 GEQ917545:GER917567 GOM917545:GON917567 GYI917545:GYJ917567 HIE917545:HIF917567 HSA917545:HSB917567 IBW917545:IBX917567 ILS917545:ILT917567 IVO917545:IVP917567 JFK917545:JFL917567 JPG917545:JPH917567 JZC917545:JZD917567 KIY917545:KIZ917567 KSU917545:KSV917567 LCQ917545:LCR917567 LMM917545:LMN917567 LWI917545:LWJ917567 MGE917545:MGF917567 MQA917545:MQB917567 MZW917545:MZX917567 NJS917545:NJT917567 NTO917545:NTP917567 ODK917545:ODL917567 ONG917545:ONH917567 OXC917545:OXD917567 PGY917545:PGZ917567 PQU917545:PQV917567 QAQ917545:QAR917567 QKM917545:QKN917567 QUI917545:QUJ917567 REE917545:REF917567 ROA917545:ROB917567 RXW917545:RXX917567 SHS917545:SHT917567 SRO917545:SRP917567 TBK917545:TBL917567 TLG917545:TLH917567 TVC917545:TVD917567 UEY917545:UEZ917567 UOU917545:UOV917567 UYQ917545:UYR917567 VIM917545:VIN917567 VSI917545:VSJ917567 WCE917545:WCF917567 WMA917545:WMB917567 WVW917545:WVX917567 O983081:P983103 JK983081:JL983103 TG983081:TH983103 ADC983081:ADD983103 AMY983081:AMZ983103 AWU983081:AWV983103 BGQ983081:BGR983103 BQM983081:BQN983103 CAI983081:CAJ983103 CKE983081:CKF983103 CUA983081:CUB983103 DDW983081:DDX983103 DNS983081:DNT983103 DXO983081:DXP983103 EHK983081:EHL983103 ERG983081:ERH983103 FBC983081:FBD983103 FKY983081:FKZ983103 FUU983081:FUV983103 GEQ983081:GER983103 GOM983081:GON983103 GYI983081:GYJ983103 HIE983081:HIF983103 HSA983081:HSB983103 IBW983081:IBX983103 ILS983081:ILT983103 IVO983081:IVP983103 JFK983081:JFL983103 JPG983081:JPH983103 JZC983081:JZD983103 KIY983081:KIZ983103 KSU983081:KSV983103 LCQ983081:LCR983103 LMM983081:LMN983103 LWI983081:LWJ983103 MGE983081:MGF983103 MQA983081:MQB983103 MZW983081:MZX983103 NJS983081:NJT983103 NTO983081:NTP983103 ODK983081:ODL983103 ONG983081:ONH983103 OXC983081:OXD983103 PGY983081:PGZ983103 PQU983081:PQV983103 QAQ983081:QAR983103 QKM983081:QKN983103 QUI983081:QUJ983103 REE983081:REF983103 ROA983081:ROB983103 RXW983081:RXX983103 SHS983081:SHT983103 SRO983081:SRP983103 TBK983081:TBL983103 TLG983081:TLH983103 TVC983081:TVD983103 UEY983081:UEZ983103 UOU983081:UOV983103 UYQ983081:UYR983103 VIM983081:VIN983103 VSI983081:VSJ983103 WCE983081:WCF983103 WMA983081:WMB983103 WVW983081:WVX983103" xr:uid="{650AFA9B-926B-4338-A33D-18657F107635}">
      <formula1>"○"</formula1>
    </dataValidation>
  </dataValidations>
  <printOptions horizontalCentered="1"/>
  <pageMargins left="0.23622047244094491" right="0.23622047244094491" top="0.74803149606299213" bottom="0.74803149606299213" header="0.31496062992125984" footer="0.31496062992125984"/>
  <pageSetup paperSize="9" scale="69" orientation="portrait" cellComments="asDisplayed" r:id="rId1"/>
  <headerFooter alignWithMargins="0"/>
  <rowBreaks count="1" manualBreakCount="1">
    <brk id="15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81A50-BD62-45D6-B62A-70619FD262C3}">
  <sheetPr>
    <tabColor rgb="FFFFFF00"/>
    <pageSetUpPr fitToPage="1"/>
  </sheetPr>
  <dimension ref="A2:AL1110"/>
  <sheetViews>
    <sheetView tabSelected="1" view="pageBreakPreview" zoomScale="70" zoomScaleNormal="75" zoomScaleSheetLayoutView="70" workbookViewId="0">
      <selection activeCell="O633" sqref="O633"/>
    </sheetView>
  </sheetViews>
  <sheetFormatPr defaultColWidth="9" defaultRowHeight="13.2"/>
  <cols>
    <col min="1" max="2" width="4.21875" style="1736" customWidth="1"/>
    <col min="3" max="3" width="25" style="1734" customWidth="1"/>
    <col min="4" max="4" width="4.88671875" style="1734" customWidth="1"/>
    <col min="5" max="5" width="41.6640625" style="1734" customWidth="1"/>
    <col min="6" max="6" width="4.88671875" style="1734" customWidth="1"/>
    <col min="7" max="7" width="19.6640625" style="1734" customWidth="1"/>
    <col min="8" max="8" width="33.88671875" style="1734" customWidth="1"/>
    <col min="9" max="24" width="5.33203125" style="1734" customWidth="1"/>
    <col min="25" max="32" width="4.88671875" style="1734" customWidth="1"/>
    <col min="33" max="37" width="0" style="1735" hidden="1" customWidth="1"/>
    <col min="38" max="38" width="9" style="1735"/>
    <col min="39" max="16384" width="9" style="1734"/>
  </cols>
  <sheetData>
    <row r="2" spans="1:37" ht="20.25" customHeight="1">
      <c r="A2" s="2070" t="s">
        <v>1489</v>
      </c>
      <c r="B2" s="2069"/>
    </row>
    <row r="3" spans="1:37" ht="20.25" customHeight="1">
      <c r="A3" s="1897" t="s">
        <v>730</v>
      </c>
      <c r="B3" s="1897"/>
      <c r="C3" s="1897"/>
      <c r="D3" s="1897"/>
      <c r="E3" s="1897"/>
      <c r="F3" s="1897"/>
      <c r="G3" s="1897"/>
      <c r="H3" s="1897"/>
      <c r="I3" s="1897"/>
      <c r="J3" s="1897"/>
      <c r="K3" s="1897"/>
      <c r="L3" s="1897"/>
      <c r="M3" s="1897"/>
      <c r="N3" s="1897"/>
      <c r="O3" s="1897"/>
      <c r="P3" s="1897"/>
      <c r="Q3" s="1897"/>
      <c r="R3" s="1897"/>
      <c r="S3" s="1897"/>
      <c r="T3" s="1897"/>
      <c r="U3" s="1897"/>
      <c r="V3" s="1897"/>
      <c r="W3" s="1897"/>
      <c r="X3" s="1897"/>
      <c r="Y3" s="1897"/>
      <c r="Z3" s="1897"/>
      <c r="AA3" s="1897"/>
      <c r="AB3" s="1897"/>
      <c r="AC3" s="1897"/>
      <c r="AD3" s="1897"/>
      <c r="AE3" s="1897"/>
      <c r="AF3" s="1897"/>
    </row>
    <row r="4" spans="1:37" ht="20.25" customHeight="1"/>
    <row r="5" spans="1:37" ht="30" customHeight="1">
      <c r="S5" s="1893" t="s">
        <v>731</v>
      </c>
      <c r="T5" s="1892"/>
      <c r="U5" s="1892"/>
      <c r="V5" s="1891"/>
      <c r="W5" s="2068"/>
      <c r="X5" s="2067"/>
      <c r="Y5" s="2067"/>
      <c r="Z5" s="2067"/>
      <c r="AA5" s="2067"/>
      <c r="AB5" s="2067"/>
      <c r="AC5" s="2067"/>
      <c r="AD5" s="2067"/>
      <c r="AE5" s="2067"/>
      <c r="AF5" s="2066"/>
      <c r="AG5" s="1735" t="str">
        <f>"kaigo_num='" &amp;W5&amp;X5&amp;Y5&amp;Z5&amp;AA5&amp;AB5&amp;AC5&amp;AD5&amp;AE5&amp;AF5&amp; "'"</f>
        <v>kaigo_num=''</v>
      </c>
    </row>
    <row r="6" spans="1:37" ht="20.25" customHeight="1"/>
    <row r="7" spans="1:37" ht="17.25" customHeight="1">
      <c r="A7" s="1893" t="s">
        <v>732</v>
      </c>
      <c r="B7" s="1892"/>
      <c r="C7" s="1891"/>
      <c r="D7" s="1893" t="s">
        <v>1</v>
      </c>
      <c r="E7" s="1891"/>
      <c r="F7" s="1893" t="s">
        <v>733</v>
      </c>
      <c r="G7" s="1891"/>
      <c r="H7" s="1893" t="s">
        <v>734</v>
      </c>
      <c r="I7" s="1892"/>
      <c r="J7" s="1892"/>
      <c r="K7" s="1892"/>
      <c r="L7" s="1892"/>
      <c r="M7" s="1892"/>
      <c r="N7" s="1892"/>
      <c r="O7" s="1892"/>
      <c r="P7" s="1892"/>
      <c r="Q7" s="1892"/>
      <c r="R7" s="1892"/>
      <c r="S7" s="1892"/>
      <c r="T7" s="1892"/>
      <c r="U7" s="1892"/>
      <c r="V7" s="1892"/>
      <c r="W7" s="1892"/>
      <c r="X7" s="1891"/>
      <c r="Y7" s="1893" t="s">
        <v>460</v>
      </c>
      <c r="Z7" s="1892"/>
      <c r="AA7" s="1892"/>
      <c r="AB7" s="1891"/>
      <c r="AC7" s="1893" t="s">
        <v>735</v>
      </c>
      <c r="AD7" s="1892"/>
      <c r="AE7" s="1892"/>
      <c r="AF7" s="1891"/>
    </row>
    <row r="8" spans="1:37" ht="18.75" customHeight="1">
      <c r="A8" s="1890" t="s">
        <v>736</v>
      </c>
      <c r="B8" s="1889"/>
      <c r="C8" s="1888"/>
      <c r="D8" s="1890"/>
      <c r="E8" s="1888"/>
      <c r="F8" s="1890"/>
      <c r="G8" s="1888"/>
      <c r="H8" s="1885" t="s">
        <v>737</v>
      </c>
      <c r="I8" s="1878" t="s">
        <v>194</v>
      </c>
      <c r="J8" s="1872" t="s">
        <v>738</v>
      </c>
      <c r="K8" s="1884"/>
      <c r="L8" s="1884"/>
      <c r="M8" s="1878" t="s">
        <v>194</v>
      </c>
      <c r="N8" s="1872" t="s">
        <v>739</v>
      </c>
      <c r="O8" s="1884"/>
      <c r="P8" s="1884"/>
      <c r="Q8" s="1878" t="s">
        <v>194</v>
      </c>
      <c r="R8" s="1872" t="s">
        <v>740</v>
      </c>
      <c r="S8" s="1884"/>
      <c r="T8" s="1884"/>
      <c r="U8" s="1878" t="s">
        <v>194</v>
      </c>
      <c r="V8" s="1872" t="s">
        <v>741</v>
      </c>
      <c r="W8" s="1884"/>
      <c r="X8" s="1804"/>
      <c r="Y8" s="1928"/>
      <c r="Z8" s="1927"/>
      <c r="AA8" s="1927"/>
      <c r="AB8" s="1926"/>
      <c r="AC8" s="1928"/>
      <c r="AD8" s="1927"/>
      <c r="AE8" s="1927"/>
      <c r="AF8" s="1926"/>
      <c r="AG8" s="1735" t="str">
        <f>"tiikikbn_code:"&amp; IF(I8="■",1,IF(M8="■",6,IF(Q8="■",7,IF(U8="■",2,IF(I9="■",3,IF(M9="■",4,IF(Q9="■",9,IF(U9="■",5,0))))))))</f>
        <v>tiikikbn_code:0</v>
      </c>
    </row>
    <row r="9" spans="1:37" ht="18.75" customHeight="1">
      <c r="A9" s="2064"/>
      <c r="B9" s="2065"/>
      <c r="C9" s="2063"/>
      <c r="D9" s="2064"/>
      <c r="E9" s="2063"/>
      <c r="F9" s="2064"/>
      <c r="G9" s="2063"/>
      <c r="H9" s="1958"/>
      <c r="I9" s="1776" t="s">
        <v>194</v>
      </c>
      <c r="J9" s="1738" t="s">
        <v>742</v>
      </c>
      <c r="K9" s="2062"/>
      <c r="L9" s="2062"/>
      <c r="M9" s="1878" t="s">
        <v>194</v>
      </c>
      <c r="N9" s="1738" t="s">
        <v>743</v>
      </c>
      <c r="O9" s="2062"/>
      <c r="P9" s="2062"/>
      <c r="Q9" s="1878" t="s">
        <v>194</v>
      </c>
      <c r="R9" s="1738" t="s">
        <v>744</v>
      </c>
      <c r="S9" s="2062"/>
      <c r="T9" s="2062"/>
      <c r="U9" s="1878" t="s">
        <v>194</v>
      </c>
      <c r="V9" s="1738" t="s">
        <v>745</v>
      </c>
      <c r="W9" s="2062"/>
      <c r="X9" s="1762"/>
      <c r="Y9" s="1912"/>
      <c r="Z9" s="1911"/>
      <c r="AA9" s="1911"/>
      <c r="AB9" s="1910"/>
      <c r="AC9" s="1912"/>
      <c r="AD9" s="1911"/>
      <c r="AE9" s="1911"/>
      <c r="AF9" s="1910"/>
    </row>
    <row r="10" spans="1:37" ht="18.600000000000001" hidden="1" customHeight="1">
      <c r="A10" s="1807"/>
      <c r="B10" s="1806"/>
      <c r="C10" s="1849"/>
      <c r="D10" s="1848"/>
      <c r="E10" s="1804"/>
      <c r="F10" s="1803"/>
      <c r="G10" s="1802"/>
      <c r="H10" s="1976" t="s">
        <v>1545</v>
      </c>
      <c r="I10" s="1931" t="s">
        <v>194</v>
      </c>
      <c r="J10" s="1872" t="s">
        <v>1544</v>
      </c>
      <c r="K10" s="1932"/>
      <c r="L10" s="1932"/>
      <c r="M10" s="1932"/>
      <c r="N10" s="1932"/>
      <c r="O10" s="1932"/>
      <c r="P10" s="1932"/>
      <c r="Q10" s="1932"/>
      <c r="R10" s="1932"/>
      <c r="S10" s="1932"/>
      <c r="T10" s="1932"/>
      <c r="U10" s="1932"/>
      <c r="V10" s="1932"/>
      <c r="W10" s="1932"/>
      <c r="X10" s="1972"/>
      <c r="Y10" s="1931" t="s">
        <v>194</v>
      </c>
      <c r="Z10" s="1872" t="s">
        <v>749</v>
      </c>
      <c r="AA10" s="1872"/>
      <c r="AB10" s="1929"/>
      <c r="AC10" s="1873" t="s">
        <v>194</v>
      </c>
      <c r="AD10" s="1872" t="s">
        <v>749</v>
      </c>
      <c r="AE10" s="1872"/>
      <c r="AF10" s="1929"/>
      <c r="AG10" s="1735" t="str">
        <f>"ser_code = '" &amp; IF(A22="■",11,"") &amp; "'"</f>
        <v>ser_code = ''</v>
      </c>
      <c r="AI10" s="1735" t="str">
        <f>"11:sintaikaigo_taisei_code:" &amp; IF(Y10="■",1,IF(Y11="■",2,IF(I12="■",3,0)))</f>
        <v>11:sintaikaigo_taisei_code:0</v>
      </c>
      <c r="AJ10" s="1735" t="str">
        <f>"11:field203:" &amp; IF(Y10="■",1,IF(Y11="■",2,0))</f>
        <v>11:field203:0</v>
      </c>
      <c r="AK10" s="1735" t="str">
        <f>"11:waribiki_code:" &amp; IF(AC10="■",1,IF(AC11="■",2,0))</f>
        <v>11:waribiki_code:0</v>
      </c>
    </row>
    <row r="11" spans="1:37" ht="18.75" hidden="1" customHeight="1">
      <c r="A11" s="1766"/>
      <c r="B11" s="1765"/>
      <c r="C11" s="1764"/>
      <c r="D11" s="1763"/>
      <c r="E11" s="1762"/>
      <c r="F11" s="1761"/>
      <c r="G11" s="1793"/>
      <c r="H11" s="1822"/>
      <c r="I11" s="1878" t="s">
        <v>194</v>
      </c>
      <c r="J11" s="1734" t="s">
        <v>1543</v>
      </c>
      <c r="K11" s="1851"/>
      <c r="L11" s="1851"/>
      <c r="M11" s="1851"/>
      <c r="N11" s="1851"/>
      <c r="O11" s="1851"/>
      <c r="P11" s="1851"/>
      <c r="Q11" s="1851"/>
      <c r="R11" s="1851"/>
      <c r="S11" s="1851"/>
      <c r="T11" s="1851"/>
      <c r="U11" s="1851"/>
      <c r="V11" s="1851"/>
      <c r="W11" s="1851"/>
      <c r="X11" s="1850"/>
      <c r="Y11" s="1878" t="s">
        <v>194</v>
      </c>
      <c r="Z11" s="1738" t="s">
        <v>754</v>
      </c>
      <c r="AA11" s="1913"/>
      <c r="AB11" s="1794"/>
      <c r="AC11" s="1776" t="s">
        <v>194</v>
      </c>
      <c r="AD11" s="1738" t="s">
        <v>754</v>
      </c>
      <c r="AE11" s="1913"/>
      <c r="AF11" s="1794"/>
      <c r="AG11" s="1735" t="str">
        <f>"11:sisetukbn_code:" &amp; IF(AND(D21="■",D22="■",D23="■"),"1;2;3",IF(AND(D21="■",D22="■"),"1;2",0))</f>
        <v>11:sisetukbn_code:0</v>
      </c>
    </row>
    <row r="12" spans="1:37" ht="18.75" hidden="1" customHeight="1">
      <c r="A12" s="1766"/>
      <c r="B12" s="1765"/>
      <c r="C12" s="1764"/>
      <c r="D12" s="1763"/>
      <c r="E12" s="1762"/>
      <c r="F12" s="1761"/>
      <c r="G12" s="1793"/>
      <c r="H12" s="1783"/>
      <c r="I12" s="1758" t="s">
        <v>194</v>
      </c>
      <c r="J12" s="1780" t="s">
        <v>1542</v>
      </c>
      <c r="K12" s="1827"/>
      <c r="L12" s="1827"/>
      <c r="M12" s="1827"/>
      <c r="N12" s="1827"/>
      <c r="O12" s="1827"/>
      <c r="P12" s="1827"/>
      <c r="Q12" s="1827"/>
      <c r="R12" s="1827"/>
      <c r="S12" s="1827"/>
      <c r="T12" s="1827"/>
      <c r="U12" s="1827"/>
      <c r="V12" s="1827"/>
      <c r="W12" s="1827"/>
      <c r="X12" s="1826"/>
      <c r="Y12" s="1914"/>
      <c r="Z12" s="1913"/>
      <c r="AA12" s="1913"/>
      <c r="AB12" s="1794"/>
      <c r="AC12" s="1914"/>
      <c r="AD12" s="1913"/>
      <c r="AE12" s="1913"/>
      <c r="AF12" s="1794"/>
    </row>
    <row r="13" spans="1:37" s="1735" customFormat="1" ht="19.5" hidden="1" customHeight="1">
      <c r="A13" s="1766"/>
      <c r="B13" s="1765"/>
      <c r="C13" s="1764"/>
      <c r="D13" s="1763"/>
      <c r="E13" s="1762"/>
      <c r="F13" s="1761"/>
      <c r="G13" s="1793"/>
      <c r="H13" s="1792" t="s">
        <v>760</v>
      </c>
      <c r="I13" s="1773" t="s">
        <v>194</v>
      </c>
      <c r="J13" s="1754" t="s">
        <v>758</v>
      </c>
      <c r="K13" s="1789"/>
      <c r="L13" s="1791"/>
      <c r="M13" s="1772" t="s">
        <v>194</v>
      </c>
      <c r="N13" s="1754" t="s">
        <v>761</v>
      </c>
      <c r="O13" s="1920"/>
      <c r="P13" s="1754"/>
      <c r="Q13" s="1768"/>
      <c r="R13" s="1768"/>
      <c r="S13" s="1768"/>
      <c r="T13" s="1768"/>
      <c r="U13" s="1768"/>
      <c r="V13" s="1768"/>
      <c r="W13" s="1768"/>
      <c r="X13" s="1767"/>
      <c r="Y13" s="1913"/>
      <c r="Z13" s="1913"/>
      <c r="AA13" s="1913"/>
      <c r="AB13" s="1794"/>
      <c r="AC13" s="1914"/>
      <c r="AD13" s="1913"/>
      <c r="AE13" s="1913"/>
      <c r="AF13" s="1794"/>
      <c r="AI13" s="1735" t="str">
        <f>"11:field223:" &amp; IF(I13="■",1,IF(M13="■",2,0))</f>
        <v>11:field223:0</v>
      </c>
    </row>
    <row r="14" spans="1:37" s="1735" customFormat="1" ht="19.5" hidden="1" customHeight="1">
      <c r="A14" s="1766"/>
      <c r="B14" s="1765"/>
      <c r="C14" s="1764"/>
      <c r="D14" s="1763"/>
      <c r="E14" s="1762"/>
      <c r="F14" s="1761"/>
      <c r="G14" s="1793"/>
      <c r="H14" s="1843" t="s">
        <v>762</v>
      </c>
      <c r="I14" s="1842" t="s">
        <v>194</v>
      </c>
      <c r="J14" s="1837" t="s">
        <v>758</v>
      </c>
      <c r="K14" s="1841"/>
      <c r="L14" s="1840"/>
      <c r="M14" s="1839" t="s">
        <v>194</v>
      </c>
      <c r="N14" s="1837" t="s">
        <v>761</v>
      </c>
      <c r="O14" s="2058"/>
      <c r="P14" s="2057"/>
      <c r="Q14" s="2056"/>
      <c r="R14" s="2056"/>
      <c r="S14" s="2056"/>
      <c r="T14" s="2056"/>
      <c r="U14" s="2056"/>
      <c r="V14" s="2056"/>
      <c r="W14" s="2056"/>
      <c r="X14" s="2055"/>
      <c r="Y14" s="1913"/>
      <c r="Z14" s="1913"/>
      <c r="AA14" s="1913"/>
      <c r="AB14" s="1794"/>
      <c r="AC14" s="2061"/>
      <c r="AD14" s="2"/>
      <c r="AE14" s="837"/>
      <c r="AF14" s="339"/>
      <c r="AI14" s="1735" t="str">
        <f>"11:field232:" &amp; IF(I14="■",1,IF(M14="■",2,0))</f>
        <v>11:field232:0</v>
      </c>
    </row>
    <row r="15" spans="1:37" s="1735" customFormat="1" ht="18.75" hidden="1" customHeight="1">
      <c r="A15" s="1766"/>
      <c r="B15" s="1765"/>
      <c r="C15" s="1764"/>
      <c r="D15" s="1763"/>
      <c r="E15" s="1762"/>
      <c r="F15" s="1761"/>
      <c r="G15" s="1793"/>
      <c r="H15" s="1759" t="s">
        <v>1799</v>
      </c>
      <c r="I15" s="1773" t="s">
        <v>194</v>
      </c>
      <c r="J15" s="1754" t="s">
        <v>750</v>
      </c>
      <c r="K15" s="1754"/>
      <c r="L15" s="1772" t="s">
        <v>194</v>
      </c>
      <c r="M15" s="1754" t="s">
        <v>784</v>
      </c>
      <c r="N15" s="1754"/>
      <c r="O15" s="1772" t="s">
        <v>194</v>
      </c>
      <c r="P15" s="1754" t="s">
        <v>785</v>
      </c>
      <c r="Q15" s="1754"/>
      <c r="R15" s="1772" t="s">
        <v>194</v>
      </c>
      <c r="S15" s="1754" t="s">
        <v>1640</v>
      </c>
      <c r="T15" s="1754"/>
      <c r="U15" s="1772" t="s">
        <v>194</v>
      </c>
      <c r="V15" s="1754" t="s">
        <v>1798</v>
      </c>
      <c r="W15" s="1754"/>
      <c r="X15" s="1753"/>
      <c r="Y15" s="1914"/>
      <c r="Z15" s="1913"/>
      <c r="AA15" s="1913"/>
      <c r="AB15" s="1794"/>
      <c r="AC15" s="1914"/>
      <c r="AD15" s="1913"/>
      <c r="AE15" s="1913"/>
      <c r="AF15" s="1794"/>
      <c r="AI15" s="1735" t="str">
        <f>"11:tokujigyou_code:" &amp; IF(I15="■",1,IF(L15="■",2,IF(O15="■",3,IF(R15="■",4,IF(U15="■",5,0)))))</f>
        <v>11:tokujigyou_code:0</v>
      </c>
    </row>
    <row r="16" spans="1:37" s="1735" customFormat="1" ht="18.75" hidden="1" customHeight="1">
      <c r="A16" s="1766"/>
      <c r="B16" s="1765"/>
      <c r="C16" s="1764"/>
      <c r="D16" s="1763"/>
      <c r="E16" s="1762"/>
      <c r="F16" s="1761"/>
      <c r="G16" s="1793"/>
      <c r="H16" s="1759" t="s">
        <v>1797</v>
      </c>
      <c r="I16" s="1773" t="s">
        <v>194</v>
      </c>
      <c r="J16" s="1754" t="s">
        <v>750</v>
      </c>
      <c r="K16" s="1789"/>
      <c r="L16" s="1772" t="s">
        <v>194</v>
      </c>
      <c r="M16" s="1754" t="s">
        <v>764</v>
      </c>
      <c r="N16" s="1789"/>
      <c r="O16" s="1789"/>
      <c r="P16" s="1789"/>
      <c r="Q16" s="1789"/>
      <c r="R16" s="1789"/>
      <c r="S16" s="1789"/>
      <c r="T16" s="1789"/>
      <c r="U16" s="1789"/>
      <c r="V16" s="1789"/>
      <c r="W16" s="1789"/>
      <c r="X16" s="1918"/>
      <c r="Y16" s="1914"/>
      <c r="Z16" s="1913"/>
      <c r="AA16" s="1913"/>
      <c r="AB16" s="1794"/>
      <c r="AC16" s="1914"/>
      <c r="AD16" s="1913"/>
      <c r="AE16" s="1913"/>
      <c r="AF16" s="1794"/>
      <c r="AI16" s="1735" t="str">
        <f>"11:field220:" &amp; IF(I16="■",1,IF(L16="■",2,0))</f>
        <v>11:field220:0</v>
      </c>
    </row>
    <row r="17" spans="1:35" s="1735" customFormat="1" ht="18.75" hidden="1" customHeight="1">
      <c r="A17" s="1766"/>
      <c r="B17" s="1765"/>
      <c r="C17" s="1764"/>
      <c r="D17" s="1763"/>
      <c r="E17" s="1762"/>
      <c r="F17" s="1761"/>
      <c r="G17" s="1793"/>
      <c r="H17" s="1788" t="s">
        <v>1541</v>
      </c>
      <c r="I17" s="1787" t="s">
        <v>194</v>
      </c>
      <c r="J17" s="1786" t="s">
        <v>750</v>
      </c>
      <c r="K17" s="1786"/>
      <c r="L17" s="1787" t="s">
        <v>194</v>
      </c>
      <c r="M17" s="1786" t="s">
        <v>764</v>
      </c>
      <c r="N17" s="1786"/>
      <c r="O17" s="1738"/>
      <c r="P17" s="1738"/>
      <c r="Q17" s="1738"/>
      <c r="R17" s="1738"/>
      <c r="S17" s="1923"/>
      <c r="T17" s="1738"/>
      <c r="U17" s="1738"/>
      <c r="V17" s="1923"/>
      <c r="W17" s="1738"/>
      <c r="X17" s="1793"/>
      <c r="Y17" s="1914"/>
      <c r="Z17" s="1913"/>
      <c r="AA17" s="1913"/>
      <c r="AB17" s="1794"/>
      <c r="AC17" s="1914"/>
      <c r="AD17" s="1913"/>
      <c r="AE17" s="1913"/>
      <c r="AF17" s="1794"/>
      <c r="AI17" s="1735" t="str">
        <f>"11:field179:" &amp; IF(I17="■",1,IF(L17="■",2,0))</f>
        <v>11:field179:0</v>
      </c>
    </row>
    <row r="18" spans="1:35" s="1735" customFormat="1" ht="18.75" hidden="1" customHeight="1">
      <c r="A18" s="1766"/>
      <c r="B18" s="1765"/>
      <c r="C18" s="1764"/>
      <c r="D18" s="1763"/>
      <c r="E18" s="1762"/>
      <c r="F18" s="1761"/>
      <c r="G18" s="1793"/>
      <c r="H18" s="1783"/>
      <c r="I18" s="1782"/>
      <c r="J18" s="1781"/>
      <c r="K18" s="1781"/>
      <c r="L18" s="1782"/>
      <c r="M18" s="1781"/>
      <c r="N18" s="1781"/>
      <c r="O18" s="1756"/>
      <c r="P18" s="1756"/>
      <c r="Q18" s="1756"/>
      <c r="R18" s="1756"/>
      <c r="S18" s="1756"/>
      <c r="T18" s="1756"/>
      <c r="U18" s="1756"/>
      <c r="V18" s="1756"/>
      <c r="W18" s="1756"/>
      <c r="X18" s="1814"/>
      <c r="Y18" s="1914"/>
      <c r="Z18" s="1913"/>
      <c r="AA18" s="1913"/>
      <c r="AB18" s="1794"/>
      <c r="AC18" s="1914"/>
      <c r="AD18" s="1913"/>
      <c r="AE18" s="1913"/>
      <c r="AF18" s="1794"/>
    </row>
    <row r="19" spans="1:35" s="1735" customFormat="1" ht="18.75" hidden="1" customHeight="1">
      <c r="A19" s="1766"/>
      <c r="B19" s="1765"/>
      <c r="C19" s="1764"/>
      <c r="D19" s="1816"/>
      <c r="E19" s="1762"/>
      <c r="F19" s="1761"/>
      <c r="G19" s="1793"/>
      <c r="H19" s="1788" t="s">
        <v>1540</v>
      </c>
      <c r="I19" s="1831" t="s">
        <v>194</v>
      </c>
      <c r="J19" s="1830" t="s">
        <v>750</v>
      </c>
      <c r="K19" s="1830"/>
      <c r="L19" s="1831" t="s">
        <v>194</v>
      </c>
      <c r="M19" s="1830" t="s">
        <v>764</v>
      </c>
      <c r="N19" s="1830"/>
      <c r="O19" s="1923"/>
      <c r="P19" s="1923"/>
      <c r="Q19" s="1923"/>
      <c r="R19" s="1923"/>
      <c r="S19" s="1923"/>
      <c r="T19" s="1923"/>
      <c r="U19" s="1923"/>
      <c r="V19" s="1923"/>
      <c r="W19" s="1923"/>
      <c r="X19" s="1956"/>
      <c r="Y19" s="1914"/>
      <c r="Z19" s="1913"/>
      <c r="AA19" s="1913"/>
      <c r="AB19" s="1794"/>
      <c r="AC19" s="1914"/>
      <c r="AD19" s="1913"/>
      <c r="AE19" s="1913"/>
      <c r="AF19" s="1794"/>
      <c r="AI19" s="1735" t="str">
        <f>"11:field180:" &amp; IF(I19="■",1,IF(L19="■",2,0))</f>
        <v>11:field180:0</v>
      </c>
    </row>
    <row r="20" spans="1:35" s="1735" customFormat="1" ht="18.75" hidden="1" customHeight="1">
      <c r="A20" s="1766"/>
      <c r="B20" s="1765"/>
      <c r="C20" s="1764"/>
      <c r="D20" s="1816"/>
      <c r="E20" s="1762"/>
      <c r="F20" s="1761"/>
      <c r="G20" s="1793"/>
      <c r="H20" s="1783"/>
      <c r="I20" s="1782"/>
      <c r="J20" s="1781"/>
      <c r="K20" s="1781"/>
      <c r="L20" s="1782"/>
      <c r="M20" s="1781"/>
      <c r="N20" s="1781"/>
      <c r="O20" s="1756"/>
      <c r="P20" s="1756"/>
      <c r="Q20" s="1756"/>
      <c r="R20" s="1756"/>
      <c r="S20" s="1756"/>
      <c r="T20" s="1756"/>
      <c r="U20" s="1756"/>
      <c r="V20" s="1756"/>
      <c r="W20" s="1756"/>
      <c r="X20" s="1814"/>
      <c r="Y20" s="1914"/>
      <c r="Z20" s="1913"/>
      <c r="AA20" s="1913"/>
      <c r="AB20" s="1794"/>
      <c r="AC20" s="1914"/>
      <c r="AD20" s="1913"/>
      <c r="AE20" s="1913"/>
      <c r="AF20" s="1794"/>
    </row>
    <row r="21" spans="1:35" s="1735" customFormat="1" ht="18.75" hidden="1" customHeight="1">
      <c r="A21" s="1825"/>
      <c r="B21" s="1765"/>
      <c r="C21" s="1764"/>
      <c r="D21" s="1878" t="s">
        <v>194</v>
      </c>
      <c r="E21" s="1762" t="s">
        <v>1538</v>
      </c>
      <c r="F21" s="1761"/>
      <c r="G21" s="1793"/>
      <c r="H21" s="1788" t="s">
        <v>1539</v>
      </c>
      <c r="I21" s="1868" t="s">
        <v>194</v>
      </c>
      <c r="J21" s="1830" t="s">
        <v>1523</v>
      </c>
      <c r="K21" s="1830"/>
      <c r="L21" s="1830"/>
      <c r="M21" s="1831" t="s">
        <v>194</v>
      </c>
      <c r="N21" s="1830" t="s">
        <v>1522</v>
      </c>
      <c r="O21" s="1830"/>
      <c r="P21" s="1830"/>
      <c r="Q21" s="1867"/>
      <c r="R21" s="1867"/>
      <c r="S21" s="1867"/>
      <c r="T21" s="1867"/>
      <c r="U21" s="1867"/>
      <c r="V21" s="1867"/>
      <c r="W21" s="1867"/>
      <c r="X21" s="1867"/>
      <c r="Y21" s="1914"/>
      <c r="Z21" s="1913"/>
      <c r="AA21" s="1913"/>
      <c r="AB21" s="1794"/>
      <c r="AC21" s="1914"/>
      <c r="AD21" s="1913"/>
      <c r="AE21" s="1913"/>
      <c r="AF21" s="1794"/>
      <c r="AI21" s="1735" t="str">
        <f>"11:field233:" &amp; IF(I21="■",1,IF(M21="■",2,0))</f>
        <v>11:field233:0</v>
      </c>
    </row>
    <row r="22" spans="1:35" s="1735" customFormat="1" ht="19.5" hidden="1" customHeight="1">
      <c r="A22" s="1776" t="s">
        <v>194</v>
      </c>
      <c r="B22" s="1765">
        <v>11</v>
      </c>
      <c r="C22" s="1764" t="s">
        <v>2</v>
      </c>
      <c r="D22" s="1878" t="s">
        <v>194</v>
      </c>
      <c r="E22" s="1762" t="s">
        <v>1537</v>
      </c>
      <c r="F22" s="1761"/>
      <c r="G22" s="1793"/>
      <c r="H22" s="1783"/>
      <c r="I22" s="1819"/>
      <c r="J22" s="1781"/>
      <c r="K22" s="1781"/>
      <c r="L22" s="1781"/>
      <c r="M22" s="1782"/>
      <c r="N22" s="1781"/>
      <c r="O22" s="1781"/>
      <c r="P22" s="1781"/>
      <c r="Q22" s="1865"/>
      <c r="R22" s="1865"/>
      <c r="S22" s="1865"/>
      <c r="T22" s="1865"/>
      <c r="U22" s="1865"/>
      <c r="V22" s="1865"/>
      <c r="W22" s="1865"/>
      <c r="X22" s="1865"/>
      <c r="Y22" s="1914"/>
      <c r="Z22" s="1913"/>
      <c r="AA22" s="1913"/>
      <c r="AB22" s="1794"/>
      <c r="AC22" s="1914"/>
      <c r="AD22" s="1913"/>
      <c r="AE22" s="1913"/>
      <c r="AF22" s="1794"/>
    </row>
    <row r="23" spans="1:35" s="1735" customFormat="1" ht="19.5" hidden="1" customHeight="1">
      <c r="A23" s="1766"/>
      <c r="B23" s="1765"/>
      <c r="C23" s="1764"/>
      <c r="D23" s="1878" t="s">
        <v>194</v>
      </c>
      <c r="E23" s="1762" t="s">
        <v>1796</v>
      </c>
      <c r="F23" s="1761"/>
      <c r="G23" s="1793"/>
      <c r="H23" s="1788" t="s">
        <v>1536</v>
      </c>
      <c r="I23" s="1868" t="s">
        <v>194</v>
      </c>
      <c r="J23" s="1830" t="s">
        <v>1523</v>
      </c>
      <c r="K23" s="1830"/>
      <c r="L23" s="1830"/>
      <c r="M23" s="1831" t="s">
        <v>194</v>
      </c>
      <c r="N23" s="1830" t="s">
        <v>1522</v>
      </c>
      <c r="O23" s="1830"/>
      <c r="P23" s="1830"/>
      <c r="Q23" s="1867"/>
      <c r="R23" s="1867"/>
      <c r="S23" s="1867"/>
      <c r="T23" s="1867"/>
      <c r="U23" s="1867"/>
      <c r="V23" s="1867"/>
      <c r="W23" s="1867"/>
      <c r="X23" s="1867"/>
      <c r="Y23" s="1914"/>
      <c r="Z23" s="1913"/>
      <c r="AA23" s="1913"/>
      <c r="AB23" s="1794"/>
      <c r="AC23" s="1914"/>
      <c r="AD23" s="1913"/>
      <c r="AE23" s="1913"/>
      <c r="AF23" s="1794"/>
      <c r="AI23" s="1735" t="str">
        <f>"11:field234:" &amp; IF(I23="■",1,IF(M23="■",2,0))</f>
        <v>11:field234:0</v>
      </c>
    </row>
    <row r="24" spans="1:35" s="1735" customFormat="1" ht="19.5" hidden="1" customHeight="1">
      <c r="A24" s="1766"/>
      <c r="B24" s="1765"/>
      <c r="C24" s="1764"/>
      <c r="D24" s="1734"/>
      <c r="E24" s="1762"/>
      <c r="F24" s="1761"/>
      <c r="G24" s="1793"/>
      <c r="H24" s="1783"/>
      <c r="I24" s="1819"/>
      <c r="J24" s="1781"/>
      <c r="K24" s="1781"/>
      <c r="L24" s="1781"/>
      <c r="M24" s="1782"/>
      <c r="N24" s="1781"/>
      <c r="O24" s="1781"/>
      <c r="P24" s="1781"/>
      <c r="Q24" s="1865"/>
      <c r="R24" s="1865"/>
      <c r="S24" s="1865"/>
      <c r="T24" s="1865"/>
      <c r="U24" s="1865"/>
      <c r="V24" s="1865"/>
      <c r="W24" s="1865"/>
      <c r="X24" s="1865"/>
      <c r="Y24" s="1914"/>
      <c r="Z24" s="1913"/>
      <c r="AA24" s="1913"/>
      <c r="AB24" s="1794"/>
      <c r="AC24" s="1914"/>
      <c r="AD24" s="1913"/>
      <c r="AE24" s="1913"/>
      <c r="AF24" s="1794"/>
    </row>
    <row r="25" spans="1:35" s="1735" customFormat="1" ht="19.5" hidden="1" customHeight="1">
      <c r="A25" s="1766"/>
      <c r="B25" s="1765"/>
      <c r="C25" s="1764"/>
      <c r="D25" s="1734"/>
      <c r="E25" s="1762"/>
      <c r="F25" s="1761"/>
      <c r="G25" s="1793"/>
      <c r="H25" s="1788" t="s">
        <v>1534</v>
      </c>
      <c r="I25" s="1868" t="s">
        <v>194</v>
      </c>
      <c r="J25" s="1830" t="s">
        <v>1523</v>
      </c>
      <c r="K25" s="1830"/>
      <c r="L25" s="1830"/>
      <c r="M25" s="1831" t="s">
        <v>194</v>
      </c>
      <c r="N25" s="1830" t="s">
        <v>1522</v>
      </c>
      <c r="O25" s="1830"/>
      <c r="P25" s="1830"/>
      <c r="Q25" s="1867"/>
      <c r="R25" s="1867"/>
      <c r="S25" s="1867"/>
      <c r="T25" s="1867"/>
      <c r="U25" s="1867"/>
      <c r="V25" s="1867"/>
      <c r="W25" s="1867"/>
      <c r="X25" s="1867"/>
      <c r="Y25" s="1914"/>
      <c r="Z25" s="1913"/>
      <c r="AA25" s="1913"/>
      <c r="AB25" s="1794"/>
      <c r="AC25" s="1914"/>
      <c r="AD25" s="1913"/>
      <c r="AE25" s="1913"/>
      <c r="AF25" s="1794"/>
      <c r="AI25" s="1735" t="str">
        <f>"11:field235:" &amp; IF(I25="■",1,IF(M25="■",2,0))</f>
        <v>11:field235:0</v>
      </c>
    </row>
    <row r="26" spans="1:35" s="1735" customFormat="1" ht="19.5" hidden="1" customHeight="1">
      <c r="A26" s="1766"/>
      <c r="B26" s="1765"/>
      <c r="C26" s="1764"/>
      <c r="D26" s="1734"/>
      <c r="E26" s="1762"/>
      <c r="F26" s="1761"/>
      <c r="G26" s="1793"/>
      <c r="H26" s="1783"/>
      <c r="I26" s="1819"/>
      <c r="J26" s="1781"/>
      <c r="K26" s="1781"/>
      <c r="L26" s="1781"/>
      <c r="M26" s="1782"/>
      <c r="N26" s="1781"/>
      <c r="O26" s="1781"/>
      <c r="P26" s="1781"/>
      <c r="Q26" s="1865"/>
      <c r="R26" s="1865"/>
      <c r="S26" s="1865"/>
      <c r="T26" s="1865"/>
      <c r="U26" s="1865"/>
      <c r="V26" s="1865"/>
      <c r="W26" s="1865"/>
      <c r="X26" s="1865"/>
      <c r="Y26" s="1914"/>
      <c r="Z26" s="1913"/>
      <c r="AA26" s="1913"/>
      <c r="AB26" s="1794"/>
      <c r="AC26" s="1914"/>
      <c r="AD26" s="1913"/>
      <c r="AE26" s="1913"/>
      <c r="AF26" s="1794"/>
    </row>
    <row r="27" spans="1:35" s="1735" customFormat="1" ht="19.5" hidden="1" customHeight="1">
      <c r="A27" s="1766"/>
      <c r="B27" s="1765"/>
      <c r="C27" s="1793"/>
      <c r="D27" s="1734"/>
      <c r="E27" s="1762"/>
      <c r="F27" s="1761"/>
      <c r="G27" s="1793"/>
      <c r="H27" s="1759" t="s">
        <v>1795</v>
      </c>
      <c r="I27" s="1878" t="s">
        <v>194</v>
      </c>
      <c r="J27" s="1754" t="s">
        <v>750</v>
      </c>
      <c r="K27" s="1789"/>
      <c r="L27" s="1878" t="s">
        <v>194</v>
      </c>
      <c r="M27" s="1754" t="s">
        <v>764</v>
      </c>
      <c r="N27" s="1754"/>
      <c r="O27" s="1754"/>
      <c r="P27" s="1754"/>
      <c r="Q27" s="1754"/>
      <c r="R27" s="1754"/>
      <c r="S27" s="1754"/>
      <c r="T27" s="1754"/>
      <c r="U27" s="1754"/>
      <c r="V27" s="1754"/>
      <c r="W27" s="1754"/>
      <c r="X27" s="1753"/>
      <c r="Y27" s="1914"/>
      <c r="Z27" s="1913"/>
      <c r="AA27" s="1913"/>
      <c r="AB27" s="1794"/>
      <c r="AC27" s="1914"/>
      <c r="AD27" s="1913"/>
      <c r="AE27" s="1913"/>
      <c r="AF27" s="1794"/>
      <c r="AI27" s="1735" t="str">
        <f>"11:tokutiiki_code:" &amp; IF(I27="■",1,IF(L27="■",2,0))</f>
        <v>11:tokutiiki_code:0</v>
      </c>
    </row>
    <row r="28" spans="1:35" s="1735" customFormat="1" ht="19.5" hidden="1" customHeight="1">
      <c r="A28" s="1766"/>
      <c r="B28" s="1957"/>
      <c r="C28" s="1957"/>
      <c r="D28" s="1734"/>
      <c r="E28" s="1734"/>
      <c r="F28" s="1761"/>
      <c r="G28" s="1793"/>
      <c r="H28" s="1788" t="s">
        <v>1791</v>
      </c>
      <c r="I28" s="1831" t="s">
        <v>194</v>
      </c>
      <c r="J28" s="1830" t="s">
        <v>1523</v>
      </c>
      <c r="K28" s="1830"/>
      <c r="L28" s="1830"/>
      <c r="M28" s="1831" t="s">
        <v>194</v>
      </c>
      <c r="N28" s="1830" t="s">
        <v>1522</v>
      </c>
      <c r="O28" s="1830"/>
      <c r="P28" s="1830"/>
      <c r="Q28" s="1923"/>
      <c r="R28" s="1923"/>
      <c r="S28" s="1923"/>
      <c r="T28" s="1923"/>
      <c r="U28" s="1923"/>
      <c r="V28" s="1923"/>
      <c r="W28" s="1923"/>
      <c r="X28" s="1956"/>
      <c r="Y28" s="1914"/>
      <c r="Z28" s="1913"/>
      <c r="AA28" s="1913"/>
      <c r="AB28" s="1794"/>
      <c r="AC28" s="1914"/>
      <c r="AD28" s="1913"/>
      <c r="AE28" s="1913"/>
      <c r="AF28" s="1794"/>
      <c r="AI28" s="1735" t="str">
        <f>"11:chuusankanti_tiiki_code:" &amp; IF(I28="■",1,IF(M28="■",2,0))</f>
        <v>11:chuusankanti_tiiki_code:0</v>
      </c>
    </row>
    <row r="29" spans="1:35" s="1735" customFormat="1" ht="18.75" hidden="1" customHeight="1">
      <c r="A29" s="1825"/>
      <c r="B29" s="1957"/>
      <c r="C29" s="1957"/>
      <c r="D29" s="1734"/>
      <c r="E29" s="1734"/>
      <c r="F29" s="1761"/>
      <c r="G29" s="1793"/>
      <c r="H29" s="1783"/>
      <c r="I29" s="1782"/>
      <c r="J29" s="1781"/>
      <c r="K29" s="1781"/>
      <c r="L29" s="1781"/>
      <c r="M29" s="1782"/>
      <c r="N29" s="1781"/>
      <c r="O29" s="1781"/>
      <c r="P29" s="1781"/>
      <c r="Q29" s="1755"/>
      <c r="R29" s="1755"/>
      <c r="S29" s="1755"/>
      <c r="T29" s="1755"/>
      <c r="U29" s="1755"/>
      <c r="V29" s="1755"/>
      <c r="W29" s="1755"/>
      <c r="X29" s="1832"/>
      <c r="Y29" s="1914"/>
      <c r="Z29" s="1913"/>
      <c r="AA29" s="1913"/>
      <c r="AB29" s="1794"/>
      <c r="AC29" s="1914"/>
      <c r="AD29" s="1913"/>
      <c r="AE29" s="1913"/>
      <c r="AF29" s="1794"/>
    </row>
    <row r="30" spans="1:35" s="1735" customFormat="1" ht="18.75" hidden="1" customHeight="1">
      <c r="A30" s="1766"/>
      <c r="B30" s="1957"/>
      <c r="C30" s="1957"/>
      <c r="D30" s="1734"/>
      <c r="E30" s="1734"/>
      <c r="F30" s="1761"/>
      <c r="G30" s="1793"/>
      <c r="H30" s="1788" t="s">
        <v>1790</v>
      </c>
      <c r="I30" s="1831" t="s">
        <v>194</v>
      </c>
      <c r="J30" s="1830" t="s">
        <v>1523</v>
      </c>
      <c r="K30" s="1830"/>
      <c r="L30" s="1830"/>
      <c r="M30" s="1831" t="s">
        <v>194</v>
      </c>
      <c r="N30" s="1830" t="s">
        <v>1522</v>
      </c>
      <c r="O30" s="1830"/>
      <c r="P30" s="1830"/>
      <c r="Q30" s="1938"/>
      <c r="R30" s="1938"/>
      <c r="S30" s="1938"/>
      <c r="T30" s="1938"/>
      <c r="U30" s="1938"/>
      <c r="V30" s="1938"/>
      <c r="W30" s="1938"/>
      <c r="X30" s="2050"/>
      <c r="Y30" s="1914"/>
      <c r="Z30" s="1913"/>
      <c r="AA30" s="1913"/>
      <c r="AB30" s="1794"/>
      <c r="AC30" s="1914"/>
      <c r="AD30" s="1913"/>
      <c r="AE30" s="1913"/>
      <c r="AF30" s="1794"/>
      <c r="AI30" s="1735" t="str">
        <f>"11:chuusankanti_kibo_code:" &amp; IF(I30="■",1,IF(M30="■",2,0))</f>
        <v>11:chuusankanti_kibo_code:0</v>
      </c>
    </row>
    <row r="31" spans="1:35" s="1735" customFormat="1" ht="18.75" hidden="1" customHeight="1">
      <c r="A31" s="1766"/>
      <c r="B31" s="1765"/>
      <c r="C31" s="1764"/>
      <c r="D31" s="1763"/>
      <c r="E31" s="1762"/>
      <c r="F31" s="1761"/>
      <c r="G31" s="1793"/>
      <c r="H31" s="1783"/>
      <c r="I31" s="1782"/>
      <c r="J31" s="1781"/>
      <c r="K31" s="1781"/>
      <c r="L31" s="1781"/>
      <c r="M31" s="1782"/>
      <c r="N31" s="1781"/>
      <c r="O31" s="1781"/>
      <c r="P31" s="1781"/>
      <c r="Q31" s="1755"/>
      <c r="R31" s="1755"/>
      <c r="S31" s="1755"/>
      <c r="T31" s="1755"/>
      <c r="U31" s="1755"/>
      <c r="V31" s="1755"/>
      <c r="W31" s="1755"/>
      <c r="X31" s="1832"/>
      <c r="Y31" s="1914"/>
      <c r="Z31" s="1913"/>
      <c r="AA31" s="1913"/>
      <c r="AB31" s="1794"/>
      <c r="AC31" s="1914"/>
      <c r="AD31" s="1913"/>
      <c r="AE31" s="1913"/>
      <c r="AF31" s="1794"/>
    </row>
    <row r="32" spans="1:35" s="1735" customFormat="1" ht="19.5" hidden="1" customHeight="1">
      <c r="A32" s="1766"/>
      <c r="B32" s="1765"/>
      <c r="C32" s="1764"/>
      <c r="D32" s="1763"/>
      <c r="E32" s="1762"/>
      <c r="F32" s="1761"/>
      <c r="G32" s="1793"/>
      <c r="H32" s="1792" t="s">
        <v>1516</v>
      </c>
      <c r="I32" s="1773" t="s">
        <v>194</v>
      </c>
      <c r="J32" s="1754" t="s">
        <v>750</v>
      </c>
      <c r="K32" s="1754"/>
      <c r="L32" s="1772" t="s">
        <v>194</v>
      </c>
      <c r="M32" s="1754" t="s">
        <v>764</v>
      </c>
      <c r="N32" s="1754"/>
      <c r="O32" s="1768"/>
      <c r="P32" s="1754"/>
      <c r="Q32" s="1768"/>
      <c r="R32" s="1768"/>
      <c r="S32" s="1768"/>
      <c r="T32" s="1768"/>
      <c r="U32" s="1768"/>
      <c r="V32" s="1768"/>
      <c r="W32" s="1768"/>
      <c r="X32" s="1767"/>
      <c r="Y32" s="1913"/>
      <c r="Z32" s="1913"/>
      <c r="AA32" s="1913"/>
      <c r="AB32" s="1794"/>
      <c r="AC32" s="1914"/>
      <c r="AD32" s="1913"/>
      <c r="AE32" s="1913"/>
      <c r="AF32" s="1794"/>
      <c r="AI32" s="1735" t="str">
        <f>"11:field224:" &amp; IF(I32="■",1,IF(L32="■",2,0))</f>
        <v>11:field224:0</v>
      </c>
    </row>
    <row r="33" spans="1:37" s="1735" customFormat="1" ht="19.5" hidden="1" customHeight="1">
      <c r="A33" s="1766"/>
      <c r="B33" s="1765"/>
      <c r="C33" s="1764"/>
      <c r="D33" s="1763"/>
      <c r="E33" s="1762"/>
      <c r="F33" s="1761"/>
      <c r="G33" s="1793"/>
      <c r="H33" s="1792" t="s">
        <v>791</v>
      </c>
      <c r="I33" s="1773" t="s">
        <v>194</v>
      </c>
      <c r="J33" s="1754" t="s">
        <v>750</v>
      </c>
      <c r="K33" s="1754"/>
      <c r="L33" s="1772" t="s">
        <v>194</v>
      </c>
      <c r="M33" s="1754" t="s">
        <v>784</v>
      </c>
      <c r="N33" s="1754"/>
      <c r="O33" s="1772" t="s">
        <v>194</v>
      </c>
      <c r="P33" s="1754" t="s">
        <v>785</v>
      </c>
      <c r="Q33" s="1768"/>
      <c r="R33" s="1768"/>
      <c r="S33" s="1768"/>
      <c r="T33" s="1768"/>
      <c r="U33" s="1768"/>
      <c r="V33" s="1768"/>
      <c r="W33" s="1768"/>
      <c r="X33" s="1767"/>
      <c r="Y33" s="1913"/>
      <c r="Z33" s="1913"/>
      <c r="AA33" s="1913"/>
      <c r="AB33" s="1794"/>
      <c r="AC33" s="1914"/>
      <c r="AD33" s="1913"/>
      <c r="AE33" s="1913"/>
      <c r="AF33" s="1794"/>
      <c r="AI33" s="1735" t="str">
        <f>"11:ninti_senmoncare_code:" &amp; IF(I33="■",1,IF(O33="■",3,IF(L33="■",2,0)))</f>
        <v>11:ninti_senmoncare_code:0</v>
      </c>
    </row>
    <row r="34" spans="1:37" s="1735" customFormat="1" ht="18.75" hidden="1" customHeight="1">
      <c r="A34" s="1752"/>
      <c r="B34" s="1751"/>
      <c r="C34" s="1750"/>
      <c r="D34" s="1749"/>
      <c r="E34" s="1748"/>
      <c r="F34" s="1747"/>
      <c r="G34" s="1808"/>
      <c r="H34" s="1909" t="s">
        <v>1553</v>
      </c>
      <c r="I34" s="1744" t="s">
        <v>194</v>
      </c>
      <c r="J34" s="1905" t="s">
        <v>750</v>
      </c>
      <c r="K34" s="1905"/>
      <c r="L34" s="1743" t="s">
        <v>194</v>
      </c>
      <c r="M34" s="1905" t="s">
        <v>1552</v>
      </c>
      <c r="N34" s="1908"/>
      <c r="O34" s="1743" t="s">
        <v>194</v>
      </c>
      <c r="P34" s="1907" t="s">
        <v>1551</v>
      </c>
      <c r="Q34" s="1906"/>
      <c r="R34" s="1743" t="s">
        <v>194</v>
      </c>
      <c r="S34" s="1905" t="s">
        <v>1550</v>
      </c>
      <c r="T34" s="1906"/>
      <c r="U34" s="1743" t="s">
        <v>194</v>
      </c>
      <c r="V34" s="1905" t="s">
        <v>1549</v>
      </c>
      <c r="W34" s="1904"/>
      <c r="X34" s="1903"/>
      <c r="Y34" s="1902"/>
      <c r="Z34" s="1902"/>
      <c r="AA34" s="1902"/>
      <c r="AB34" s="1901"/>
      <c r="AC34" s="1961"/>
      <c r="AD34" s="1902"/>
      <c r="AE34" s="1902"/>
      <c r="AF34" s="1901"/>
      <c r="AI34" s="1735" t="str">
        <f>"11:shoguukaizen_code:"&amp;IF(I34="■",1,IF(L34="■",7,IF(O34="■",8,IF(R34="■",9,IF(U34="■","A",0)))))</f>
        <v>11:shoguukaizen_code:0</v>
      </c>
    </row>
    <row r="35" spans="1:37" s="1735" customFormat="1" ht="19.5" hidden="1" customHeight="1">
      <c r="A35" s="1807"/>
      <c r="B35" s="1806"/>
      <c r="C35" s="1849"/>
      <c r="D35" s="1848"/>
      <c r="E35" s="1804"/>
      <c r="F35" s="1803"/>
      <c r="G35" s="1802"/>
      <c r="H35" s="1847" t="s">
        <v>760</v>
      </c>
      <c r="I35" s="1800" t="s">
        <v>194</v>
      </c>
      <c r="J35" s="1799" t="s">
        <v>758</v>
      </c>
      <c r="K35" s="1846"/>
      <c r="L35" s="1845"/>
      <c r="M35" s="1798" t="s">
        <v>194</v>
      </c>
      <c r="N35" s="1799" t="s">
        <v>761</v>
      </c>
      <c r="O35" s="1796"/>
      <c r="P35" s="1799"/>
      <c r="Q35" s="1796"/>
      <c r="R35" s="1796"/>
      <c r="S35" s="1796"/>
      <c r="T35" s="1796"/>
      <c r="U35" s="1796"/>
      <c r="V35" s="1796"/>
      <c r="W35" s="1796"/>
      <c r="X35" s="1795"/>
      <c r="Y35" s="1873" t="s">
        <v>194</v>
      </c>
      <c r="Z35" s="1872" t="s">
        <v>749</v>
      </c>
      <c r="AA35" s="1872"/>
      <c r="AB35" s="1929"/>
      <c r="AC35" s="1873" t="s">
        <v>194</v>
      </c>
      <c r="AD35" s="1872" t="s">
        <v>749</v>
      </c>
      <c r="AE35" s="1872"/>
      <c r="AF35" s="1929"/>
      <c r="AG35" s="1735" t="str">
        <f>"ser_code = '" &amp; IF(A40="■",12,"") &amp; "'"</f>
        <v>ser_code = ''</v>
      </c>
      <c r="AI35" s="1735" t="str">
        <f>"12:field223:" &amp; IF(I35="■",1,IF(M35="■",2,0))</f>
        <v>12:field223:0</v>
      </c>
      <c r="AJ35" s="1735" t="str">
        <f>"12:field203:" &amp; IF(Y35="■",1,IF(Y36="■",2,0))</f>
        <v>12:field203:0</v>
      </c>
      <c r="AK35" s="1735" t="str">
        <f>"12:waribiki_code:" &amp; IF(AC35="■",1,IF(AC36="■",2,0))</f>
        <v>12:waribiki_code:0</v>
      </c>
    </row>
    <row r="36" spans="1:37" s="1735" customFormat="1" ht="19.5" hidden="1" customHeight="1">
      <c r="A36" s="1766"/>
      <c r="B36" s="1765"/>
      <c r="C36" s="1764"/>
      <c r="D36" s="1763"/>
      <c r="E36" s="1762"/>
      <c r="F36" s="1761"/>
      <c r="G36" s="1793"/>
      <c r="H36" s="1843" t="s">
        <v>762</v>
      </c>
      <c r="I36" s="1842" t="s">
        <v>194</v>
      </c>
      <c r="J36" s="1837" t="s">
        <v>758</v>
      </c>
      <c r="K36" s="1841"/>
      <c r="L36" s="1840"/>
      <c r="M36" s="1839" t="s">
        <v>194</v>
      </c>
      <c r="N36" s="1837" t="s">
        <v>761</v>
      </c>
      <c r="O36" s="2058"/>
      <c r="P36" s="2057"/>
      <c r="Q36" s="2056"/>
      <c r="R36" s="2056"/>
      <c r="S36" s="2056"/>
      <c r="T36" s="2056"/>
      <c r="U36" s="2056"/>
      <c r="V36" s="2056"/>
      <c r="W36" s="2056"/>
      <c r="X36" s="2055"/>
      <c r="Y36" s="1878" t="s">
        <v>194</v>
      </c>
      <c r="Z36" s="1738" t="s">
        <v>754</v>
      </c>
      <c r="AA36" s="1913"/>
      <c r="AB36" s="1794"/>
      <c r="AC36" s="1776" t="s">
        <v>194</v>
      </c>
      <c r="AD36" s="1738" t="s">
        <v>754</v>
      </c>
      <c r="AE36" s="837"/>
      <c r="AF36" s="339"/>
      <c r="AI36" s="1735" t="str">
        <f>"12:field232:" &amp; IF(I36="■",1,IF(M36="■",2,0))</f>
        <v>12:field232:0</v>
      </c>
    </row>
    <row r="37" spans="1:37" s="1735" customFormat="1" ht="19.5" hidden="1" customHeight="1">
      <c r="A37" s="1766"/>
      <c r="B37" s="1765"/>
      <c r="C37" s="1764"/>
      <c r="D37" s="1763"/>
      <c r="E37" s="1762"/>
      <c r="F37" s="1761"/>
      <c r="G37" s="1793"/>
      <c r="H37" s="2033" t="s">
        <v>1792</v>
      </c>
      <c r="I37" s="1758" t="s">
        <v>194</v>
      </c>
      <c r="J37" s="1756" t="s">
        <v>750</v>
      </c>
      <c r="K37" s="1755"/>
      <c r="L37" s="1757" t="s">
        <v>194</v>
      </c>
      <c r="M37" s="1756" t="s">
        <v>764</v>
      </c>
      <c r="N37" s="1756"/>
      <c r="O37" s="1756"/>
      <c r="P37" s="1756"/>
      <c r="Q37" s="1756"/>
      <c r="R37" s="1756"/>
      <c r="S37" s="1756"/>
      <c r="T37" s="1756"/>
      <c r="U37" s="1756"/>
      <c r="V37" s="1756"/>
      <c r="W37" s="1756"/>
      <c r="X37" s="1814"/>
      <c r="Y37" s="1734"/>
      <c r="Z37" s="1738"/>
      <c r="AA37" s="1913"/>
      <c r="AB37" s="1794"/>
      <c r="AC37" s="1763"/>
      <c r="AD37" s="1738"/>
      <c r="AE37" s="1913"/>
      <c r="AF37" s="1794"/>
      <c r="AI37" s="1735" t="str">
        <f>"12:tokutiiki_code:" &amp; IF(I37="■",1,IF(L37="■",2,0))</f>
        <v>12:tokutiiki_code:0</v>
      </c>
    </row>
    <row r="38" spans="1:37" s="1735" customFormat="1" ht="18.75" hidden="1" customHeight="1">
      <c r="A38" s="1766"/>
      <c r="B38" s="1765"/>
      <c r="C38" s="1764"/>
      <c r="D38" s="1763"/>
      <c r="E38" s="1762"/>
      <c r="F38" s="1761"/>
      <c r="G38" s="1793"/>
      <c r="H38" s="1788" t="s">
        <v>1791</v>
      </c>
      <c r="I38" s="1831" t="s">
        <v>194</v>
      </c>
      <c r="J38" s="1830" t="s">
        <v>1523</v>
      </c>
      <c r="K38" s="1830"/>
      <c r="L38" s="1830"/>
      <c r="M38" s="1831" t="s">
        <v>194</v>
      </c>
      <c r="N38" s="1830" t="s">
        <v>1522</v>
      </c>
      <c r="O38" s="1830"/>
      <c r="P38" s="1830"/>
      <c r="Q38" s="1938"/>
      <c r="R38" s="1938"/>
      <c r="S38" s="1938"/>
      <c r="T38" s="1938"/>
      <c r="U38" s="1938"/>
      <c r="V38" s="1938"/>
      <c r="W38" s="1938"/>
      <c r="X38" s="2050"/>
      <c r="Y38" s="1734"/>
      <c r="Z38" s="1734"/>
      <c r="AA38" s="1734"/>
      <c r="AB38" s="1794"/>
      <c r="AC38" s="1763"/>
      <c r="AD38" s="1734"/>
      <c r="AE38" s="1734"/>
      <c r="AF38" s="1794"/>
      <c r="AI38" s="1735" t="str">
        <f>"12:chuusankanti_tiiki_code:" &amp; IF(I38="■",1,IF(M38="■",2,0))</f>
        <v>12:chuusankanti_tiiki_code:0</v>
      </c>
    </row>
    <row r="39" spans="1:37" s="1735" customFormat="1" ht="18.75" hidden="1" customHeight="1">
      <c r="A39" s="1766"/>
      <c r="B39" s="1765"/>
      <c r="C39" s="1764"/>
      <c r="D39" s="1763"/>
      <c r="E39" s="1762"/>
      <c r="F39" s="1761"/>
      <c r="G39" s="1793"/>
      <c r="H39" s="1783"/>
      <c r="I39" s="1782"/>
      <c r="J39" s="1781"/>
      <c r="K39" s="1781"/>
      <c r="L39" s="1781"/>
      <c r="M39" s="1782"/>
      <c r="N39" s="1781"/>
      <c r="O39" s="1781"/>
      <c r="P39" s="1781"/>
      <c r="Q39" s="1827"/>
      <c r="R39" s="1827"/>
      <c r="S39" s="1827"/>
      <c r="T39" s="1827"/>
      <c r="U39" s="1827"/>
      <c r="V39" s="1827"/>
      <c r="W39" s="1827"/>
      <c r="X39" s="1826"/>
      <c r="Y39" s="1914"/>
      <c r="Z39" s="1913"/>
      <c r="AA39" s="1913"/>
      <c r="AB39" s="1794"/>
      <c r="AC39" s="1914"/>
      <c r="AD39" s="1913"/>
      <c r="AE39" s="1913"/>
      <c r="AF39" s="1794"/>
    </row>
    <row r="40" spans="1:37" s="1735" customFormat="1" ht="18.75" hidden="1" customHeight="1">
      <c r="A40" s="1776" t="s">
        <v>194</v>
      </c>
      <c r="B40" s="1765">
        <v>12</v>
      </c>
      <c r="C40" s="1764" t="s">
        <v>290</v>
      </c>
      <c r="D40" s="1763"/>
      <c r="E40" s="1762"/>
      <c r="F40" s="1761"/>
      <c r="G40" s="1793"/>
      <c r="H40" s="1788" t="s">
        <v>1790</v>
      </c>
      <c r="I40" s="1831" t="s">
        <v>194</v>
      </c>
      <c r="J40" s="1830" t="s">
        <v>1523</v>
      </c>
      <c r="K40" s="1830"/>
      <c r="L40" s="1830"/>
      <c r="M40" s="1831" t="s">
        <v>194</v>
      </c>
      <c r="N40" s="1830" t="s">
        <v>1522</v>
      </c>
      <c r="O40" s="1830"/>
      <c r="P40" s="1830"/>
      <c r="Q40" s="1938"/>
      <c r="R40" s="1938"/>
      <c r="S40" s="1938"/>
      <c r="T40" s="1938"/>
      <c r="U40" s="1938"/>
      <c r="V40" s="1938"/>
      <c r="W40" s="1938"/>
      <c r="X40" s="2050"/>
      <c r="Y40" s="1914"/>
      <c r="Z40" s="1913"/>
      <c r="AA40" s="1913"/>
      <c r="AB40" s="1794"/>
      <c r="AC40" s="1914"/>
      <c r="AD40" s="1913"/>
      <c r="AE40" s="1913"/>
      <c r="AF40" s="1794"/>
      <c r="AI40" s="1735" t="str">
        <f>"12:chuusankanti_kibo_code:" &amp; IF(I40="■",1,IF(M40="■",2,0))</f>
        <v>12:chuusankanti_kibo_code:0</v>
      </c>
    </row>
    <row r="41" spans="1:37" s="1735" customFormat="1" ht="18.75" hidden="1" customHeight="1">
      <c r="A41" s="1766"/>
      <c r="B41" s="1765"/>
      <c r="C41" s="1764"/>
      <c r="D41" s="1763"/>
      <c r="E41" s="1762"/>
      <c r="F41" s="1761"/>
      <c r="G41" s="1793"/>
      <c r="H41" s="1783"/>
      <c r="I41" s="1787"/>
      <c r="J41" s="1786"/>
      <c r="K41" s="1786"/>
      <c r="L41" s="1786"/>
      <c r="M41" s="1787"/>
      <c r="N41" s="1781"/>
      <c r="O41" s="1781"/>
      <c r="P41" s="1781"/>
      <c r="Q41" s="1827"/>
      <c r="R41" s="1827"/>
      <c r="S41" s="1827"/>
      <c r="T41" s="1827"/>
      <c r="U41" s="1827"/>
      <c r="V41" s="1827"/>
      <c r="W41" s="1827"/>
      <c r="X41" s="1826"/>
      <c r="Y41" s="1914"/>
      <c r="Z41" s="1913"/>
      <c r="AA41" s="1913"/>
      <c r="AB41" s="1794"/>
      <c r="AC41" s="1914"/>
      <c r="AD41" s="1913"/>
      <c r="AE41" s="1913"/>
      <c r="AF41" s="1794"/>
    </row>
    <row r="42" spans="1:37" s="1735" customFormat="1" ht="19.5" hidden="1" customHeight="1">
      <c r="A42" s="1766"/>
      <c r="B42" s="1765"/>
      <c r="C42" s="1764"/>
      <c r="D42" s="1763"/>
      <c r="E42" s="1762"/>
      <c r="F42" s="1761"/>
      <c r="G42" s="1793"/>
      <c r="H42" s="1863" t="s">
        <v>791</v>
      </c>
      <c r="I42" s="1772" t="s">
        <v>194</v>
      </c>
      <c r="J42" s="1754" t="s">
        <v>750</v>
      </c>
      <c r="K42" s="1754"/>
      <c r="L42" s="1772" t="s">
        <v>194</v>
      </c>
      <c r="M42" s="1754" t="s">
        <v>784</v>
      </c>
      <c r="N42" s="1754"/>
      <c r="O42" s="1772" t="s">
        <v>194</v>
      </c>
      <c r="P42" s="1754" t="s">
        <v>785</v>
      </c>
      <c r="Q42" s="1768"/>
      <c r="R42" s="1789"/>
      <c r="S42" s="1789"/>
      <c r="T42" s="1789"/>
      <c r="U42" s="1789"/>
      <c r="V42" s="1789"/>
      <c r="W42" s="1789"/>
      <c r="X42" s="1918"/>
      <c r="Y42" s="1914"/>
      <c r="Z42" s="1913"/>
      <c r="AA42" s="1913"/>
      <c r="AB42" s="1794"/>
      <c r="AC42" s="1914"/>
      <c r="AD42" s="1913"/>
      <c r="AE42" s="1913"/>
      <c r="AF42" s="1794"/>
      <c r="AI42" s="1735" t="str">
        <f>"12:ninti_senmoncare_code:" &amp; IF(I42="■",1,IF(O42="■",3,IF(L42="■",2,0)))</f>
        <v>12:ninti_senmoncare_code:0</v>
      </c>
    </row>
    <row r="43" spans="1:37" s="1735" customFormat="1" ht="18.75" hidden="1" customHeight="1">
      <c r="A43" s="1825"/>
      <c r="B43" s="1765"/>
      <c r="C43" s="1764"/>
      <c r="D43" s="1763"/>
      <c r="E43" s="1762"/>
      <c r="F43" s="1761"/>
      <c r="G43" s="1793"/>
      <c r="H43" s="2033" t="s">
        <v>1739</v>
      </c>
      <c r="I43" s="1773" t="s">
        <v>194</v>
      </c>
      <c r="J43" s="1754" t="s">
        <v>750</v>
      </c>
      <c r="K43" s="1789"/>
      <c r="L43" s="1772" t="s">
        <v>194</v>
      </c>
      <c r="M43" s="1754" t="s">
        <v>764</v>
      </c>
      <c r="N43" s="1780"/>
      <c r="O43" s="1780"/>
      <c r="P43" s="1780"/>
      <c r="Q43" s="1827"/>
      <c r="R43" s="1827"/>
      <c r="S43" s="1827"/>
      <c r="T43" s="1827"/>
      <c r="U43" s="1827"/>
      <c r="V43" s="1827"/>
      <c r="W43" s="1827"/>
      <c r="X43" s="1826"/>
      <c r="Y43" s="1914"/>
      <c r="Z43" s="1913"/>
      <c r="AA43" s="1913"/>
      <c r="AB43" s="1794"/>
      <c r="AC43" s="1914"/>
      <c r="AD43" s="1913"/>
      <c r="AE43" s="1913"/>
      <c r="AF43" s="1794"/>
      <c r="AI43" s="1735" t="str">
        <f>"12:field171:" &amp; IF(I43="■",1,IF(L43="■",2,0))</f>
        <v>12:field171:0</v>
      </c>
    </row>
    <row r="44" spans="1:37" s="1735" customFormat="1" ht="19.5" hidden="1" customHeight="1">
      <c r="A44" s="1766"/>
      <c r="B44" s="1765"/>
      <c r="C44" s="1764"/>
      <c r="D44" s="1763"/>
      <c r="E44" s="1762"/>
      <c r="F44" s="1761"/>
      <c r="G44" s="1793"/>
      <c r="H44" s="1759" t="s">
        <v>1776</v>
      </c>
      <c r="I44" s="1773" t="s">
        <v>194</v>
      </c>
      <c r="J44" s="1756" t="s">
        <v>750</v>
      </c>
      <c r="K44" s="1756"/>
      <c r="L44" s="1772" t="s">
        <v>194</v>
      </c>
      <c r="M44" s="1754" t="s">
        <v>1794</v>
      </c>
      <c r="N44" s="1754"/>
      <c r="O44" s="1772" t="s">
        <v>194</v>
      </c>
      <c r="P44" s="1754" t="s">
        <v>785</v>
      </c>
      <c r="Q44" s="1754"/>
      <c r="R44" s="1772" t="s">
        <v>194</v>
      </c>
      <c r="S44" s="1756" t="s">
        <v>1793</v>
      </c>
      <c r="T44" s="1756"/>
      <c r="U44" s="1754"/>
      <c r="V44" s="1754"/>
      <c r="W44" s="1754"/>
      <c r="X44" s="1753"/>
      <c r="Y44" s="1914"/>
      <c r="Z44" s="1913"/>
      <c r="AA44" s="1913"/>
      <c r="AB44" s="1794"/>
      <c r="AC44" s="1914"/>
      <c r="AD44" s="1913"/>
      <c r="AE44" s="1913"/>
      <c r="AF44" s="1794"/>
      <c r="AI44" s="1735" t="str">
        <f>"12:serteikyo_kyoka_code:" &amp; IF(I44="■",1,IF(L44="■",4,IF(O44="■",3,IF(R44="■",5,0))))</f>
        <v>12:serteikyo_kyoka_code:0</v>
      </c>
    </row>
    <row r="45" spans="1:37" s="1735" customFormat="1" ht="18.75" hidden="1" customHeight="1">
      <c r="A45" s="1752"/>
      <c r="B45" s="1751"/>
      <c r="C45" s="1750"/>
      <c r="D45" s="1749"/>
      <c r="E45" s="1748"/>
      <c r="F45" s="1747"/>
      <c r="G45" s="1808"/>
      <c r="H45" s="1909" t="s">
        <v>1553</v>
      </c>
      <c r="I45" s="1744" t="s">
        <v>194</v>
      </c>
      <c r="J45" s="1905" t="s">
        <v>750</v>
      </c>
      <c r="K45" s="1905"/>
      <c r="L45" s="1743" t="s">
        <v>194</v>
      </c>
      <c r="M45" s="1905" t="s">
        <v>1552</v>
      </c>
      <c r="N45" s="1908"/>
      <c r="O45" s="1743" t="s">
        <v>194</v>
      </c>
      <c r="P45" s="1907" t="s">
        <v>1551</v>
      </c>
      <c r="Q45" s="1906"/>
      <c r="R45" s="1743" t="s">
        <v>194</v>
      </c>
      <c r="S45" s="1905" t="s">
        <v>1550</v>
      </c>
      <c r="T45" s="1906"/>
      <c r="U45" s="1743" t="s">
        <v>194</v>
      </c>
      <c r="V45" s="1905" t="s">
        <v>1549</v>
      </c>
      <c r="W45" s="1904"/>
      <c r="X45" s="1903"/>
      <c r="Y45" s="1902"/>
      <c r="Z45" s="1902"/>
      <c r="AA45" s="1902"/>
      <c r="AB45" s="1901"/>
      <c r="AC45" s="1961"/>
      <c r="AD45" s="1902"/>
      <c r="AE45" s="1902"/>
      <c r="AF45" s="1901"/>
      <c r="AI45" s="1735" t="str">
        <f>"12:shoguukaizen_code:"&amp;IF(I45="■",1,IF(L45="■",7,IF(O45="■",8,IF(R45="■",9,IF(U45="■","A",0)))))</f>
        <v>12:shoguukaizen_code:0</v>
      </c>
    </row>
    <row r="46" spans="1:37" s="1735" customFormat="1" ht="19.5" hidden="1" customHeight="1">
      <c r="A46" s="1807"/>
      <c r="B46" s="1806"/>
      <c r="C46" s="1849"/>
      <c r="D46" s="1848"/>
      <c r="E46" s="1804"/>
      <c r="F46" s="1803"/>
      <c r="G46" s="1802"/>
      <c r="H46" s="1847" t="s">
        <v>760</v>
      </c>
      <c r="I46" s="1800" t="s">
        <v>194</v>
      </c>
      <c r="J46" s="1799" t="s">
        <v>758</v>
      </c>
      <c r="K46" s="1846"/>
      <c r="L46" s="1845"/>
      <c r="M46" s="1798" t="s">
        <v>194</v>
      </c>
      <c r="N46" s="1799" t="s">
        <v>761</v>
      </c>
      <c r="O46" s="2059"/>
      <c r="P46" s="1799"/>
      <c r="Q46" s="1796"/>
      <c r="R46" s="1796"/>
      <c r="S46" s="1796"/>
      <c r="T46" s="1796"/>
      <c r="U46" s="1796"/>
      <c r="V46" s="1796"/>
      <c r="W46" s="1796"/>
      <c r="X46" s="1795"/>
      <c r="Y46" s="1873" t="s">
        <v>194</v>
      </c>
      <c r="Z46" s="1872" t="s">
        <v>749</v>
      </c>
      <c r="AA46" s="1872"/>
      <c r="AB46" s="1929"/>
      <c r="AC46" s="1928"/>
      <c r="AD46" s="1927"/>
      <c r="AE46" s="1927"/>
      <c r="AF46" s="1926"/>
      <c r="AG46" s="1735" t="str">
        <f>"ser_code = '" &amp; IF(A54="■",13,"") &amp; "'"</f>
        <v>ser_code = ''</v>
      </c>
      <c r="AI46" s="1735" t="str">
        <f>"13:field223:" &amp; IF(I46="■",1,IF(M46="■",2,0))</f>
        <v>13:field223:0</v>
      </c>
      <c r="AJ46" s="1735" t="str">
        <f>"13:field203:" &amp; IF(Y46="■",1,IF(Y47="■",2,0))</f>
        <v>13:field203:0</v>
      </c>
    </row>
    <row r="47" spans="1:37" s="1735" customFormat="1" ht="19.5" hidden="1" customHeight="1">
      <c r="A47" s="1766"/>
      <c r="B47" s="1765"/>
      <c r="C47" s="1764"/>
      <c r="D47" s="1763"/>
      <c r="E47" s="1762"/>
      <c r="F47" s="1761"/>
      <c r="G47" s="1793"/>
      <c r="H47" s="1843" t="s">
        <v>762</v>
      </c>
      <c r="I47" s="1842" t="s">
        <v>194</v>
      </c>
      <c r="J47" s="1837" t="s">
        <v>758</v>
      </c>
      <c r="K47" s="1841"/>
      <c r="L47" s="1840"/>
      <c r="M47" s="1839" t="s">
        <v>194</v>
      </c>
      <c r="N47" s="1837" t="s">
        <v>761</v>
      </c>
      <c r="O47" s="2058"/>
      <c r="P47" s="2057"/>
      <c r="Q47" s="2056"/>
      <c r="R47" s="2056"/>
      <c r="S47" s="2056"/>
      <c r="T47" s="2056"/>
      <c r="U47" s="2056"/>
      <c r="V47" s="2056"/>
      <c r="W47" s="2056"/>
      <c r="X47" s="2055"/>
      <c r="Y47" s="1878" t="s">
        <v>194</v>
      </c>
      <c r="Z47" s="1738" t="s">
        <v>754</v>
      </c>
      <c r="AA47" s="1913"/>
      <c r="AB47" s="1794"/>
      <c r="AC47" s="1912"/>
      <c r="AD47" s="1911"/>
      <c r="AE47" s="1911"/>
      <c r="AF47" s="1910"/>
      <c r="AI47" s="1735" t="str">
        <f>"13:field232:" &amp; IF(I47="■",1,IF(M47="■",2,0))</f>
        <v>13:field232:0</v>
      </c>
    </row>
    <row r="48" spans="1:37" s="1735" customFormat="1" ht="18.75" hidden="1" customHeight="1">
      <c r="A48" s="1766"/>
      <c r="B48" s="1765"/>
      <c r="C48" s="1764"/>
      <c r="D48" s="1763"/>
      <c r="E48" s="1762"/>
      <c r="F48" s="1761"/>
      <c r="G48" s="1793"/>
      <c r="H48" s="2033" t="s">
        <v>1792</v>
      </c>
      <c r="I48" s="1758" t="s">
        <v>194</v>
      </c>
      <c r="J48" s="1756" t="s">
        <v>750</v>
      </c>
      <c r="K48" s="1755"/>
      <c r="L48" s="1757" t="s">
        <v>194</v>
      </c>
      <c r="M48" s="1756" t="s">
        <v>764</v>
      </c>
      <c r="N48" s="1756"/>
      <c r="O48" s="1756"/>
      <c r="P48" s="1756"/>
      <c r="Q48" s="1827"/>
      <c r="R48" s="1827"/>
      <c r="S48" s="1827"/>
      <c r="T48" s="1827"/>
      <c r="U48" s="1827"/>
      <c r="V48" s="1827"/>
      <c r="W48" s="1827"/>
      <c r="X48" s="1826"/>
      <c r="Y48" s="1734"/>
      <c r="Z48" s="1738"/>
      <c r="AA48" s="1913"/>
      <c r="AB48" s="1794"/>
      <c r="AC48" s="1912"/>
      <c r="AD48" s="1911"/>
      <c r="AE48" s="1911"/>
      <c r="AF48" s="1910"/>
      <c r="AG48" s="1735" t="str">
        <f>"13:sisetukbn_code:" &amp; IF(D53="■",1,IF(D54="■",2,IF(D55="■",3,0)))</f>
        <v>13:sisetukbn_code:0</v>
      </c>
      <c r="AI48" s="1735" t="str">
        <f>"13:tokutiiki_code:" &amp; IF(I48="■",1,IF(L48="■",2,0))</f>
        <v>13:tokutiiki_code:0</v>
      </c>
    </row>
    <row r="49" spans="1:36" s="1735" customFormat="1" ht="18.75" hidden="1" customHeight="1">
      <c r="A49" s="1766"/>
      <c r="B49" s="1765"/>
      <c r="C49" s="1764"/>
      <c r="D49" s="1763"/>
      <c r="E49" s="1762"/>
      <c r="F49" s="1761"/>
      <c r="G49" s="1793"/>
      <c r="H49" s="1788" t="s">
        <v>1791</v>
      </c>
      <c r="I49" s="1831" t="s">
        <v>194</v>
      </c>
      <c r="J49" s="1830" t="s">
        <v>1523</v>
      </c>
      <c r="K49" s="1830"/>
      <c r="L49" s="1830"/>
      <c r="M49" s="1831" t="s">
        <v>194</v>
      </c>
      <c r="N49" s="1830" t="s">
        <v>1522</v>
      </c>
      <c r="O49" s="1830"/>
      <c r="P49" s="1830"/>
      <c r="Q49" s="1938"/>
      <c r="R49" s="1938"/>
      <c r="S49" s="1938"/>
      <c r="T49" s="1938"/>
      <c r="U49" s="1938"/>
      <c r="V49" s="1938"/>
      <c r="W49" s="1938"/>
      <c r="X49" s="2050"/>
      <c r="Y49" s="1734"/>
      <c r="Z49" s="1734"/>
      <c r="AA49" s="1734"/>
      <c r="AB49" s="1794"/>
      <c r="AC49" s="1912"/>
      <c r="AD49" s="1911"/>
      <c r="AE49" s="1911"/>
      <c r="AF49" s="1910"/>
      <c r="AI49" s="1735" t="str">
        <f>"13:chuusankanti_tiiki_code:" &amp; IF(I49="■",1,IF(M49="■",2,0))</f>
        <v>13:chuusankanti_tiiki_code:0</v>
      </c>
    </row>
    <row r="50" spans="1:36" s="1735" customFormat="1" ht="18.75" hidden="1" customHeight="1">
      <c r="A50" s="1766"/>
      <c r="B50" s="1765"/>
      <c r="C50" s="1764"/>
      <c r="D50" s="1763"/>
      <c r="E50" s="1762"/>
      <c r="F50" s="1761"/>
      <c r="G50" s="1793"/>
      <c r="H50" s="1783"/>
      <c r="I50" s="1782"/>
      <c r="J50" s="1781"/>
      <c r="K50" s="1781"/>
      <c r="L50" s="1781"/>
      <c r="M50" s="1782"/>
      <c r="N50" s="1781"/>
      <c r="O50" s="1781"/>
      <c r="P50" s="1781"/>
      <c r="Q50" s="1827"/>
      <c r="R50" s="1827"/>
      <c r="S50" s="1827"/>
      <c r="T50" s="1827"/>
      <c r="U50" s="1827"/>
      <c r="V50" s="1827"/>
      <c r="W50" s="1827"/>
      <c r="X50" s="1826"/>
      <c r="Y50" s="1914"/>
      <c r="Z50" s="1913"/>
      <c r="AA50" s="1913"/>
      <c r="AB50" s="1794"/>
      <c r="AC50" s="1912"/>
      <c r="AD50" s="1911"/>
      <c r="AE50" s="1911"/>
      <c r="AF50" s="1910"/>
    </row>
    <row r="51" spans="1:36" s="1735" customFormat="1" ht="18.75" hidden="1" customHeight="1">
      <c r="A51" s="1766"/>
      <c r="B51" s="1765"/>
      <c r="C51" s="1764"/>
      <c r="D51" s="1763"/>
      <c r="E51" s="1762"/>
      <c r="F51" s="1761"/>
      <c r="G51" s="1793"/>
      <c r="H51" s="1788" t="s">
        <v>1790</v>
      </c>
      <c r="I51" s="1831" t="s">
        <v>194</v>
      </c>
      <c r="J51" s="1830" t="s">
        <v>1523</v>
      </c>
      <c r="K51" s="1830"/>
      <c r="L51" s="1830"/>
      <c r="M51" s="1831" t="s">
        <v>194</v>
      </c>
      <c r="N51" s="1830" t="s">
        <v>1522</v>
      </c>
      <c r="O51" s="1830"/>
      <c r="P51" s="1830"/>
      <c r="Q51" s="1938"/>
      <c r="R51" s="1938"/>
      <c r="S51" s="1938"/>
      <c r="T51" s="1938"/>
      <c r="U51" s="1938"/>
      <c r="V51" s="1938"/>
      <c r="W51" s="1938"/>
      <c r="X51" s="2050"/>
      <c r="Y51" s="1914"/>
      <c r="Z51" s="1913"/>
      <c r="AA51" s="1913"/>
      <c r="AB51" s="1794"/>
      <c r="AC51" s="1912"/>
      <c r="AD51" s="1911"/>
      <c r="AE51" s="1911"/>
      <c r="AF51" s="1910"/>
      <c r="AI51" s="1735" t="str">
        <f>"13:chuusankanti_kibo_code:" &amp; IF(I51="■",1,IF(M51="■",2,0))</f>
        <v>13:chuusankanti_kibo_code:0</v>
      </c>
    </row>
    <row r="52" spans="1:36" s="1735" customFormat="1" ht="18.75" hidden="1" customHeight="1">
      <c r="A52" s="1766"/>
      <c r="B52" s="1765"/>
      <c r="C52" s="1764"/>
      <c r="D52" s="1763"/>
      <c r="E52" s="1762"/>
      <c r="F52" s="1761"/>
      <c r="G52" s="1793"/>
      <c r="H52" s="1783"/>
      <c r="I52" s="1782"/>
      <c r="J52" s="1781"/>
      <c r="K52" s="1781"/>
      <c r="L52" s="1781"/>
      <c r="M52" s="1782"/>
      <c r="N52" s="1781"/>
      <c r="O52" s="1781"/>
      <c r="P52" s="1781"/>
      <c r="Q52" s="1827"/>
      <c r="R52" s="1827"/>
      <c r="S52" s="1827"/>
      <c r="T52" s="1827"/>
      <c r="U52" s="1827"/>
      <c r="V52" s="1827"/>
      <c r="W52" s="1827"/>
      <c r="X52" s="1826"/>
      <c r="Y52" s="1914"/>
      <c r="Z52" s="1913"/>
      <c r="AA52" s="1913"/>
      <c r="AB52" s="1794"/>
      <c r="AC52" s="1912"/>
      <c r="AD52" s="1911"/>
      <c r="AE52" s="1911"/>
      <c r="AF52" s="1910"/>
    </row>
    <row r="53" spans="1:36" s="1735" customFormat="1" ht="18.75" hidden="1" customHeight="1">
      <c r="A53" s="1766"/>
      <c r="B53" s="1765"/>
      <c r="C53" s="1764"/>
      <c r="D53" s="1878" t="s">
        <v>194</v>
      </c>
      <c r="E53" s="1762" t="s">
        <v>1532</v>
      </c>
      <c r="F53" s="1761"/>
      <c r="G53" s="1793"/>
      <c r="H53" s="1759" t="s">
        <v>1789</v>
      </c>
      <c r="I53" s="1924" t="s">
        <v>194</v>
      </c>
      <c r="J53" s="1754" t="s">
        <v>750</v>
      </c>
      <c r="K53" s="1789"/>
      <c r="L53" s="1772" t="s">
        <v>194</v>
      </c>
      <c r="M53" s="1754" t="s">
        <v>773</v>
      </c>
      <c r="N53" s="1754"/>
      <c r="O53" s="1922" t="s">
        <v>194</v>
      </c>
      <c r="P53" s="1923" t="s">
        <v>774</v>
      </c>
      <c r="Q53" s="1771"/>
      <c r="R53" s="1771"/>
      <c r="S53" s="1771"/>
      <c r="T53" s="1771"/>
      <c r="U53" s="1771"/>
      <c r="V53" s="1771"/>
      <c r="W53" s="1771"/>
      <c r="X53" s="1770"/>
      <c r="Y53" s="1914"/>
      <c r="Z53" s="1913"/>
      <c r="AA53" s="1913"/>
      <c r="AB53" s="1794"/>
      <c r="AC53" s="1912"/>
      <c r="AD53" s="1911"/>
      <c r="AE53" s="1911"/>
      <c r="AF53" s="1910"/>
      <c r="AI53" s="1735" t="str">
        <f>"13:kinkyu_code:"&amp;IF(I53="■",1,IF(O53="■",3,IF(L53="■",2,0)))</f>
        <v>13:kinkyu_code:0</v>
      </c>
    </row>
    <row r="54" spans="1:36" s="1735" customFormat="1" ht="18.75" hidden="1" customHeight="1">
      <c r="A54" s="1776" t="s">
        <v>194</v>
      </c>
      <c r="B54" s="1765">
        <v>13</v>
      </c>
      <c r="C54" s="1764" t="s">
        <v>247</v>
      </c>
      <c r="D54" s="1878" t="s">
        <v>194</v>
      </c>
      <c r="E54" s="1762" t="s">
        <v>1531</v>
      </c>
      <c r="F54" s="1761"/>
      <c r="G54" s="1793"/>
      <c r="H54" s="1759" t="s">
        <v>1788</v>
      </c>
      <c r="I54" s="1924" t="s">
        <v>194</v>
      </c>
      <c r="J54" s="1754" t="s">
        <v>755</v>
      </c>
      <c r="K54" s="1789"/>
      <c r="L54" s="1791"/>
      <c r="M54" s="1878" t="s">
        <v>194</v>
      </c>
      <c r="N54" s="1754" t="s">
        <v>756</v>
      </c>
      <c r="O54" s="1768"/>
      <c r="P54" s="1768"/>
      <c r="Q54" s="1768"/>
      <c r="R54" s="1768"/>
      <c r="S54" s="1768"/>
      <c r="T54" s="1768"/>
      <c r="U54" s="1768"/>
      <c r="V54" s="1768"/>
      <c r="W54" s="1768"/>
      <c r="X54" s="1767"/>
      <c r="Y54" s="1914"/>
      <c r="Z54" s="1913"/>
      <c r="AA54" s="1913"/>
      <c r="AB54" s="1794"/>
      <c r="AC54" s="1912"/>
      <c r="AD54" s="1911"/>
      <c r="AE54" s="1911"/>
      <c r="AF54" s="1910"/>
      <c r="AI54" s="1735" t="str">
        <f>"13:tokukanri_code:" &amp; IF(I54="■",1,IF(M54="■",2,0))</f>
        <v>13:tokukanri_code:0</v>
      </c>
    </row>
    <row r="55" spans="1:36" s="1735" customFormat="1" ht="18.75" hidden="1" customHeight="1">
      <c r="A55" s="1766"/>
      <c r="B55" s="1765"/>
      <c r="C55" s="1764"/>
      <c r="D55" s="1878" t="s">
        <v>194</v>
      </c>
      <c r="E55" s="1762" t="s">
        <v>1787</v>
      </c>
      <c r="F55" s="1761"/>
      <c r="G55" s="1793"/>
      <c r="H55" s="1759" t="s">
        <v>1786</v>
      </c>
      <c r="I55" s="1924" t="s">
        <v>194</v>
      </c>
      <c r="J55" s="1754" t="s">
        <v>750</v>
      </c>
      <c r="K55" s="1789"/>
      <c r="L55" s="1772" t="s">
        <v>194</v>
      </c>
      <c r="M55" s="1754" t="s">
        <v>764</v>
      </c>
      <c r="N55" s="1754"/>
      <c r="O55" s="1771"/>
      <c r="P55" s="1771"/>
      <c r="Q55" s="1771"/>
      <c r="R55" s="1771"/>
      <c r="S55" s="1771"/>
      <c r="T55" s="1771"/>
      <c r="U55" s="1771"/>
      <c r="V55" s="1771"/>
      <c r="W55" s="1771"/>
      <c r="X55" s="1770"/>
      <c r="Y55" s="1914"/>
      <c r="Z55" s="1913"/>
      <c r="AA55" s="1913"/>
      <c r="AB55" s="1794"/>
      <c r="AC55" s="1912"/>
      <c r="AD55" s="1911"/>
      <c r="AE55" s="1911"/>
      <c r="AF55" s="1910"/>
      <c r="AI55" s="1735" t="str">
        <f>"13:field230:" &amp; IF(I55="■",1,IF(L55="■",2,0))</f>
        <v>13:field230:0</v>
      </c>
    </row>
    <row r="56" spans="1:36" s="1735" customFormat="1" ht="18.75" hidden="1" customHeight="1">
      <c r="A56" s="1766"/>
      <c r="B56" s="1765"/>
      <c r="C56" s="1764"/>
      <c r="D56" s="1763"/>
      <c r="E56" s="1762"/>
      <c r="F56" s="1761"/>
      <c r="G56" s="1793"/>
      <c r="H56" s="1759" t="s">
        <v>1785</v>
      </c>
      <c r="I56" s="1924" t="s">
        <v>194</v>
      </c>
      <c r="J56" s="1754" t="s">
        <v>750</v>
      </c>
      <c r="K56" s="1789"/>
      <c r="L56" s="1772" t="s">
        <v>194</v>
      </c>
      <c r="M56" s="1754" t="s">
        <v>764</v>
      </c>
      <c r="N56" s="1754"/>
      <c r="O56" s="1771"/>
      <c r="P56" s="1771"/>
      <c r="Q56" s="1771"/>
      <c r="R56" s="1771"/>
      <c r="S56" s="1771"/>
      <c r="T56" s="1771"/>
      <c r="U56" s="1771"/>
      <c r="V56" s="1771"/>
      <c r="W56" s="1771"/>
      <c r="X56" s="1770"/>
      <c r="Y56" s="1914"/>
      <c r="Z56" s="1913"/>
      <c r="AA56" s="1913"/>
      <c r="AB56" s="1794"/>
      <c r="AC56" s="1912"/>
      <c r="AD56" s="1911"/>
      <c r="AE56" s="1911"/>
      <c r="AF56" s="1910"/>
      <c r="AI56" s="1735" t="str">
        <f>"13:terminal_code:" &amp; IF(I56="■",1,IF(L56="■",2,0))</f>
        <v>13:terminal_code:0</v>
      </c>
    </row>
    <row r="57" spans="1:36" s="1735" customFormat="1" ht="18.75" hidden="1" customHeight="1">
      <c r="A57" s="1766"/>
      <c r="B57" s="1765"/>
      <c r="C57" s="1764"/>
      <c r="D57" s="1763"/>
      <c r="E57" s="1762"/>
      <c r="F57" s="1761"/>
      <c r="G57" s="1793"/>
      <c r="H57" s="1759" t="s">
        <v>1784</v>
      </c>
      <c r="I57" s="1924" t="s">
        <v>194</v>
      </c>
      <c r="J57" s="1754" t="s">
        <v>750</v>
      </c>
      <c r="K57" s="1789"/>
      <c r="L57" s="1772" t="s">
        <v>194</v>
      </c>
      <c r="M57" s="1754" t="s">
        <v>764</v>
      </c>
      <c r="N57" s="1754"/>
      <c r="O57" s="1771"/>
      <c r="P57" s="1771"/>
      <c r="Q57" s="1771"/>
      <c r="R57" s="1771"/>
      <c r="S57" s="1771"/>
      <c r="T57" s="1771"/>
      <c r="U57" s="1771"/>
      <c r="V57" s="1771"/>
      <c r="W57" s="1771"/>
      <c r="X57" s="1770"/>
      <c r="Y57" s="1914"/>
      <c r="Z57" s="1913"/>
      <c r="AA57" s="1913"/>
      <c r="AB57" s="1794"/>
      <c r="AC57" s="1912"/>
      <c r="AD57" s="1911"/>
      <c r="AE57" s="1911"/>
      <c r="AF57" s="1910"/>
      <c r="AI57" s="1735" t="str">
        <f>"13:field231:" &amp; IF(I57="■",1,IF(L57="■",2,0))</f>
        <v>13:field231:0</v>
      </c>
    </row>
    <row r="58" spans="1:36" s="1735" customFormat="1" ht="18.75" hidden="1" customHeight="1">
      <c r="A58" s="1766"/>
      <c r="B58" s="1765"/>
      <c r="C58" s="1764"/>
      <c r="D58" s="1763"/>
      <c r="E58" s="1762"/>
      <c r="F58" s="1761"/>
      <c r="G58" s="1793"/>
      <c r="H58" s="1759" t="s">
        <v>1783</v>
      </c>
      <c r="I58" s="1924" t="s">
        <v>194</v>
      </c>
      <c r="J58" s="1754" t="s">
        <v>750</v>
      </c>
      <c r="K58" s="1754"/>
      <c r="L58" s="1772" t="s">
        <v>194</v>
      </c>
      <c r="M58" s="1754" t="s">
        <v>773</v>
      </c>
      <c r="N58" s="1754"/>
      <c r="O58" s="1878" t="s">
        <v>194</v>
      </c>
      <c r="P58" s="1754" t="s">
        <v>774</v>
      </c>
      <c r="Q58" s="1771"/>
      <c r="R58" s="1771"/>
      <c r="S58" s="1771"/>
      <c r="T58" s="1771"/>
      <c r="U58" s="1771"/>
      <c r="V58" s="1771"/>
      <c r="W58" s="1771"/>
      <c r="X58" s="1770"/>
      <c r="Y58" s="1914"/>
      <c r="Z58" s="1913"/>
      <c r="AA58" s="1913"/>
      <c r="AB58" s="1794"/>
      <c r="AC58" s="1912"/>
      <c r="AD58" s="1911"/>
      <c r="AE58" s="1911"/>
      <c r="AF58" s="1910"/>
      <c r="AI58" s="1735" t="str">
        <f>"13:field169:" &amp; IF(I58="■",1,IF(L58="■",3,IF(O58="■",2,0)))</f>
        <v>13:field169:0</v>
      </c>
    </row>
    <row r="59" spans="1:36" s="1735" customFormat="1" ht="19.5" hidden="1" customHeight="1">
      <c r="A59" s="1766"/>
      <c r="B59" s="1765"/>
      <c r="C59" s="1764"/>
      <c r="D59" s="1763"/>
      <c r="E59" s="1762"/>
      <c r="F59" s="1761"/>
      <c r="G59" s="1793"/>
      <c r="H59" s="1792" t="s">
        <v>1516</v>
      </c>
      <c r="I59" s="1773" t="s">
        <v>194</v>
      </c>
      <c r="J59" s="1754" t="s">
        <v>750</v>
      </c>
      <c r="K59" s="1754"/>
      <c r="L59" s="1772" t="s">
        <v>194</v>
      </c>
      <c r="M59" s="1754" t="s">
        <v>764</v>
      </c>
      <c r="N59" s="1754"/>
      <c r="O59" s="1768"/>
      <c r="P59" s="1754"/>
      <c r="Q59" s="1768"/>
      <c r="R59" s="1768"/>
      <c r="S59" s="1768"/>
      <c r="T59" s="1768"/>
      <c r="U59" s="1768"/>
      <c r="V59" s="1768"/>
      <c r="W59" s="1768"/>
      <c r="X59" s="1767"/>
      <c r="Y59" s="1913"/>
      <c r="Z59" s="1913"/>
      <c r="AA59" s="1913"/>
      <c r="AB59" s="1794"/>
      <c r="AC59" s="1912"/>
      <c r="AD59" s="1911"/>
      <c r="AE59" s="1911"/>
      <c r="AF59" s="1910"/>
      <c r="AI59" s="1735" t="str">
        <f>"13:field224:" &amp; IF(I59="■",1,IF(L59="■",2,0))</f>
        <v>13:field224:0</v>
      </c>
    </row>
    <row r="60" spans="1:36" s="1735" customFormat="1" ht="18.75" hidden="1" customHeight="1">
      <c r="A60" s="1766"/>
      <c r="B60" s="1765"/>
      <c r="C60" s="1764"/>
      <c r="D60" s="1763"/>
      <c r="E60" s="1762"/>
      <c r="F60" s="1761"/>
      <c r="G60" s="1793"/>
      <c r="H60" s="1788" t="s">
        <v>1776</v>
      </c>
      <c r="I60" s="1924" t="s">
        <v>194</v>
      </c>
      <c r="J60" s="1923" t="s">
        <v>750</v>
      </c>
      <c r="K60" s="1785"/>
      <c r="L60" s="1734"/>
      <c r="M60" s="1734"/>
      <c r="N60" s="1785"/>
      <c r="O60" s="1785"/>
      <c r="P60" s="1785"/>
      <c r="Q60" s="1922" t="s">
        <v>194</v>
      </c>
      <c r="R60" s="1923" t="s">
        <v>1782</v>
      </c>
      <c r="S60" s="1816"/>
      <c r="T60" s="1738"/>
      <c r="U60" s="1785"/>
      <c r="V60" s="1785"/>
      <c r="W60" s="1785"/>
      <c r="X60" s="1784"/>
      <c r="Y60" s="1914"/>
      <c r="Z60" s="1913"/>
      <c r="AA60" s="1913"/>
      <c r="AB60" s="1794"/>
      <c r="AC60" s="1912"/>
      <c r="AD60" s="1911"/>
      <c r="AE60" s="1911"/>
      <c r="AF60" s="1910"/>
      <c r="AI60" s="1735" t="str">
        <f>"13:serteikyo_kyoka_code:"&amp;IF(I60="■",1,IF(I61="■",2,IF(I62="■",3,IF(Q60="■",4,IF(Q61="■",5,0)))))</f>
        <v>13:serteikyo_kyoka_code:0</v>
      </c>
    </row>
    <row r="61" spans="1:36" s="1735" customFormat="1" ht="18.75" hidden="1" customHeight="1">
      <c r="A61" s="1766"/>
      <c r="B61" s="1765"/>
      <c r="C61" s="1764"/>
      <c r="D61" s="1763"/>
      <c r="E61" s="1762"/>
      <c r="F61" s="1761"/>
      <c r="G61" s="1793"/>
      <c r="H61" s="1822"/>
      <c r="I61" s="1776" t="s">
        <v>194</v>
      </c>
      <c r="J61" s="1738" t="s">
        <v>1781</v>
      </c>
      <c r="K61" s="1734"/>
      <c r="L61" s="1734"/>
      <c r="M61" s="1738"/>
      <c r="N61" s="1734"/>
      <c r="O61" s="1734"/>
      <c r="P61" s="1734"/>
      <c r="Q61" s="1878" t="s">
        <v>194</v>
      </c>
      <c r="R61" s="1734" t="s">
        <v>1780</v>
      </c>
      <c r="S61" s="1816"/>
      <c r="T61" s="1738"/>
      <c r="U61" s="1734"/>
      <c r="V61" s="1734"/>
      <c r="W61" s="1734"/>
      <c r="X61" s="1957"/>
      <c r="Y61" s="1914"/>
      <c r="Z61" s="1913"/>
      <c r="AA61" s="1913"/>
      <c r="AB61" s="1794"/>
      <c r="AC61" s="1912"/>
      <c r="AD61" s="1911"/>
      <c r="AE61" s="1911"/>
      <c r="AF61" s="1910"/>
    </row>
    <row r="62" spans="1:36" s="1735" customFormat="1" ht="18.75" hidden="1" customHeight="1">
      <c r="A62" s="1752"/>
      <c r="B62" s="1751"/>
      <c r="C62" s="1750"/>
      <c r="D62" s="1749"/>
      <c r="E62" s="1748"/>
      <c r="F62" s="1747"/>
      <c r="G62" s="1808"/>
      <c r="H62" s="1983"/>
      <c r="I62" s="1811" t="s">
        <v>194</v>
      </c>
      <c r="J62" s="2060" t="s">
        <v>1779</v>
      </c>
      <c r="K62" s="1860"/>
      <c r="L62" s="1860"/>
      <c r="M62" s="1860"/>
      <c r="N62" s="1860"/>
      <c r="O62" s="2060"/>
      <c r="P62" s="2060"/>
      <c r="Q62" s="1860"/>
      <c r="R62" s="1860"/>
      <c r="S62" s="1860"/>
      <c r="T62" s="1860"/>
      <c r="U62" s="1860"/>
      <c r="V62" s="1860"/>
      <c r="W62" s="1860"/>
      <c r="X62" s="1859"/>
      <c r="Y62" s="1961"/>
      <c r="Z62" s="1902"/>
      <c r="AA62" s="1902"/>
      <c r="AB62" s="1901"/>
      <c r="AC62" s="1900"/>
      <c r="AD62" s="1899"/>
      <c r="AE62" s="1899"/>
      <c r="AF62" s="1898"/>
    </row>
    <row r="63" spans="1:36" s="1735" customFormat="1" ht="19.5" hidden="1" customHeight="1">
      <c r="A63" s="1807"/>
      <c r="B63" s="1806"/>
      <c r="C63" s="1849"/>
      <c r="D63" s="1848"/>
      <c r="E63" s="1804"/>
      <c r="F63" s="1803"/>
      <c r="G63" s="1802"/>
      <c r="H63" s="1847" t="s">
        <v>760</v>
      </c>
      <c r="I63" s="1800" t="s">
        <v>194</v>
      </c>
      <c r="J63" s="1799" t="s">
        <v>758</v>
      </c>
      <c r="K63" s="1846"/>
      <c r="L63" s="1845"/>
      <c r="M63" s="1798" t="s">
        <v>194</v>
      </c>
      <c r="N63" s="1799" t="s">
        <v>761</v>
      </c>
      <c r="O63" s="2059"/>
      <c r="P63" s="1799"/>
      <c r="Q63" s="1796"/>
      <c r="R63" s="1796"/>
      <c r="S63" s="1796"/>
      <c r="T63" s="1796"/>
      <c r="U63" s="1796"/>
      <c r="V63" s="1796"/>
      <c r="W63" s="1796"/>
      <c r="X63" s="1795"/>
      <c r="Y63" s="1931" t="s">
        <v>194</v>
      </c>
      <c r="Z63" s="1872" t="s">
        <v>749</v>
      </c>
      <c r="AA63" s="1872"/>
      <c r="AB63" s="1929"/>
      <c r="AC63" s="1928"/>
      <c r="AD63" s="1927"/>
      <c r="AE63" s="1927"/>
      <c r="AF63" s="1926"/>
      <c r="AG63" s="1735" t="str">
        <f>"ser_code = '" &amp; IF(A69="■",14,"") &amp; "'"</f>
        <v>ser_code = ''</v>
      </c>
      <c r="AI63" s="1735" t="str">
        <f>"14:field223:" &amp; IF(I63="■",1,IF(M63="■",2,0))</f>
        <v>14:field223:0</v>
      </c>
      <c r="AJ63" s="1735" t="str">
        <f>"14:field203:" &amp; IF(Y63="■",1,IF(Y64="■",2,0))</f>
        <v>14:field203:0</v>
      </c>
    </row>
    <row r="64" spans="1:36" s="1735" customFormat="1" ht="19.5" hidden="1" customHeight="1">
      <c r="A64" s="1766"/>
      <c r="B64" s="1765"/>
      <c r="C64" s="1764"/>
      <c r="D64" s="1763"/>
      <c r="E64" s="1762"/>
      <c r="F64" s="1761"/>
      <c r="G64" s="1793"/>
      <c r="H64" s="1843" t="s">
        <v>762</v>
      </c>
      <c r="I64" s="1842" t="s">
        <v>194</v>
      </c>
      <c r="J64" s="1837" t="s">
        <v>758</v>
      </c>
      <c r="K64" s="1841"/>
      <c r="L64" s="1840"/>
      <c r="M64" s="1839" t="s">
        <v>194</v>
      </c>
      <c r="N64" s="1837" t="s">
        <v>761</v>
      </c>
      <c r="O64" s="2058"/>
      <c r="P64" s="2057"/>
      <c r="Q64" s="2056"/>
      <c r="R64" s="2056"/>
      <c r="S64" s="2056"/>
      <c r="T64" s="2056"/>
      <c r="U64" s="2056"/>
      <c r="V64" s="2056"/>
      <c r="W64" s="2056"/>
      <c r="X64" s="2055"/>
      <c r="Y64" s="1878" t="s">
        <v>194</v>
      </c>
      <c r="Z64" s="1738" t="s">
        <v>754</v>
      </c>
      <c r="AA64" s="1913"/>
      <c r="AB64" s="1794"/>
      <c r="AC64" s="1912"/>
      <c r="AD64" s="1911"/>
      <c r="AE64" s="1911"/>
      <c r="AF64" s="1910"/>
      <c r="AG64" s="1735" t="str">
        <f>"14:sisetukbn_code:" &amp; IF(D68="■",1,IF(D69="■",2,IF(D70="■",3,0)))</f>
        <v>14:sisetukbn_code:0</v>
      </c>
      <c r="AI64" s="1735" t="str">
        <f>"14:field232:" &amp; IF(I64="■",1,IF(M64="■",2,0))</f>
        <v>14:field232:0</v>
      </c>
    </row>
    <row r="65" spans="1:36" s="1735" customFormat="1" ht="19.5" hidden="1" customHeight="1">
      <c r="A65" s="1766"/>
      <c r="B65" s="1765"/>
      <c r="C65" s="1764"/>
      <c r="D65" s="1763"/>
      <c r="E65" s="1762"/>
      <c r="F65" s="1761"/>
      <c r="G65" s="1793"/>
      <c r="H65" s="2033" t="s">
        <v>1533</v>
      </c>
      <c r="I65" s="1776" t="s">
        <v>194</v>
      </c>
      <c r="J65" s="1756" t="s">
        <v>750</v>
      </c>
      <c r="K65" s="1755"/>
      <c r="L65" s="1878" t="s">
        <v>194</v>
      </c>
      <c r="M65" s="1756" t="s">
        <v>764</v>
      </c>
      <c r="N65" s="1756"/>
      <c r="O65" s="1756"/>
      <c r="P65" s="1756"/>
      <c r="Q65" s="1827"/>
      <c r="R65" s="1827"/>
      <c r="S65" s="1827"/>
      <c r="T65" s="1827"/>
      <c r="U65" s="1827"/>
      <c r="V65" s="1827"/>
      <c r="W65" s="1827"/>
      <c r="X65" s="1826"/>
      <c r="Y65" s="1734"/>
      <c r="Z65" s="1738"/>
      <c r="AA65" s="1913"/>
      <c r="AB65" s="1794"/>
      <c r="AC65" s="1912"/>
      <c r="AD65" s="1911"/>
      <c r="AE65" s="1911"/>
      <c r="AF65" s="1910"/>
      <c r="AI65" s="1735" t="str">
        <f>"14:tokutiiki_code:" &amp; IF(I65="■",1,IF(L65="■",2,0))</f>
        <v>14:tokutiiki_code:0</v>
      </c>
    </row>
    <row r="66" spans="1:36" s="1735" customFormat="1" ht="18.75" hidden="1" customHeight="1">
      <c r="A66" s="1766"/>
      <c r="B66" s="1765"/>
      <c r="C66" s="1764"/>
      <c r="D66" s="1763"/>
      <c r="E66" s="1762"/>
      <c r="F66" s="1761"/>
      <c r="G66" s="1793"/>
      <c r="H66" s="1788" t="s">
        <v>1528</v>
      </c>
      <c r="I66" s="1987" t="s">
        <v>194</v>
      </c>
      <c r="J66" s="1830" t="s">
        <v>1523</v>
      </c>
      <c r="K66" s="1830"/>
      <c r="L66" s="1830"/>
      <c r="M66" s="1831" t="s">
        <v>194</v>
      </c>
      <c r="N66" s="1830" t="s">
        <v>1522</v>
      </c>
      <c r="O66" s="1830"/>
      <c r="P66" s="1830"/>
      <c r="Q66" s="1938"/>
      <c r="R66" s="1938"/>
      <c r="S66" s="1938"/>
      <c r="T66" s="1938"/>
      <c r="U66" s="1938"/>
      <c r="V66" s="1938"/>
      <c r="W66" s="1938"/>
      <c r="X66" s="2050"/>
      <c r="Y66" s="1734"/>
      <c r="Z66" s="1734"/>
      <c r="AA66" s="1734"/>
      <c r="AB66" s="1794"/>
      <c r="AC66" s="1912"/>
      <c r="AD66" s="1911"/>
      <c r="AE66" s="1911"/>
      <c r="AF66" s="1910"/>
      <c r="AI66" s="1735" t="str">
        <f>"14:chuusankanti_tiiki_code:" &amp; IF(I66="■",1,IF(M66="■",2,0))</f>
        <v>14:chuusankanti_tiiki_code:0</v>
      </c>
    </row>
    <row r="67" spans="1:36" s="1735" customFormat="1" ht="18.75" hidden="1" customHeight="1">
      <c r="A67" s="1766"/>
      <c r="B67" s="1765"/>
      <c r="C67" s="1764"/>
      <c r="D67" s="1763"/>
      <c r="E67" s="1762"/>
      <c r="F67" s="1761"/>
      <c r="G67" s="1793"/>
      <c r="H67" s="1783"/>
      <c r="I67" s="2049"/>
      <c r="J67" s="1781"/>
      <c r="K67" s="1781"/>
      <c r="L67" s="1781"/>
      <c r="M67" s="1782"/>
      <c r="N67" s="1781"/>
      <c r="O67" s="1781"/>
      <c r="P67" s="1781"/>
      <c r="Q67" s="1827"/>
      <c r="R67" s="1827"/>
      <c r="S67" s="1827"/>
      <c r="T67" s="1827"/>
      <c r="U67" s="1827"/>
      <c r="V67" s="1827"/>
      <c r="W67" s="1827"/>
      <c r="X67" s="1826"/>
      <c r="Y67" s="1914"/>
      <c r="Z67" s="1913"/>
      <c r="AA67" s="1913"/>
      <c r="AB67" s="1794"/>
      <c r="AC67" s="1912"/>
      <c r="AD67" s="1911"/>
      <c r="AE67" s="1911"/>
      <c r="AF67" s="1910"/>
    </row>
    <row r="68" spans="1:36" s="1735" customFormat="1" ht="18.75" hidden="1" customHeight="1">
      <c r="A68" s="1766"/>
      <c r="B68" s="1765"/>
      <c r="C68" s="1764"/>
      <c r="D68" s="1878" t="s">
        <v>194</v>
      </c>
      <c r="E68" s="1762" t="s">
        <v>1778</v>
      </c>
      <c r="F68" s="1761"/>
      <c r="G68" s="1793"/>
      <c r="H68" s="1788" t="s">
        <v>1524</v>
      </c>
      <c r="I68" s="1987" t="s">
        <v>194</v>
      </c>
      <c r="J68" s="1830" t="s">
        <v>1523</v>
      </c>
      <c r="K68" s="1830"/>
      <c r="L68" s="1830"/>
      <c r="M68" s="1831" t="s">
        <v>194</v>
      </c>
      <c r="N68" s="1830" t="s">
        <v>1522</v>
      </c>
      <c r="O68" s="1830"/>
      <c r="P68" s="1830"/>
      <c r="Q68" s="1938"/>
      <c r="R68" s="1938"/>
      <c r="S68" s="1938"/>
      <c r="T68" s="1938"/>
      <c r="U68" s="1938"/>
      <c r="V68" s="1938"/>
      <c r="W68" s="1938"/>
      <c r="X68" s="2050"/>
      <c r="Y68" s="1914"/>
      <c r="Z68" s="1913"/>
      <c r="AA68" s="1913"/>
      <c r="AB68" s="1794"/>
      <c r="AC68" s="1912"/>
      <c r="AD68" s="1911"/>
      <c r="AE68" s="1911"/>
      <c r="AF68" s="1910"/>
      <c r="AI68" s="1735" t="str">
        <f>"14:chuusankanti_kibo_code:" &amp; IF(I68="■",1,IF(M68="■",2,0))</f>
        <v>14:chuusankanti_kibo_code:0</v>
      </c>
    </row>
    <row r="69" spans="1:36" s="1735" customFormat="1" ht="18.75" hidden="1" customHeight="1">
      <c r="A69" s="1776" t="s">
        <v>194</v>
      </c>
      <c r="B69" s="1765">
        <v>14</v>
      </c>
      <c r="C69" s="1764" t="s">
        <v>1777</v>
      </c>
      <c r="D69" s="1878" t="s">
        <v>194</v>
      </c>
      <c r="E69" s="1762" t="s">
        <v>1525</v>
      </c>
      <c r="F69" s="1761"/>
      <c r="G69" s="1793"/>
      <c r="H69" s="1783"/>
      <c r="I69" s="2049"/>
      <c r="J69" s="1781"/>
      <c r="K69" s="1781"/>
      <c r="L69" s="1781"/>
      <c r="M69" s="1782"/>
      <c r="N69" s="1781"/>
      <c r="O69" s="1781"/>
      <c r="P69" s="1781"/>
      <c r="Q69" s="1827"/>
      <c r="R69" s="1827"/>
      <c r="S69" s="1827"/>
      <c r="T69" s="1827"/>
      <c r="U69" s="1827"/>
      <c r="V69" s="1827"/>
      <c r="W69" s="1827"/>
      <c r="X69" s="1826"/>
      <c r="Y69" s="1914"/>
      <c r="Z69" s="1913"/>
      <c r="AA69" s="1913"/>
      <c r="AB69" s="1794"/>
      <c r="AC69" s="1912"/>
      <c r="AD69" s="1911"/>
      <c r="AE69" s="1911"/>
      <c r="AF69" s="1910"/>
    </row>
    <row r="70" spans="1:36" s="1735" customFormat="1" ht="19.5" hidden="1" customHeight="1">
      <c r="A70" s="1766"/>
      <c r="B70" s="1765"/>
      <c r="C70" s="1764"/>
      <c r="D70" s="1878" t="s">
        <v>194</v>
      </c>
      <c r="E70" s="1762" t="s">
        <v>1521</v>
      </c>
      <c r="F70" s="1761"/>
      <c r="G70" s="1793"/>
      <c r="H70" s="2054" t="s">
        <v>1520</v>
      </c>
      <c r="I70" s="1924" t="s">
        <v>194</v>
      </c>
      <c r="J70" s="1923" t="s">
        <v>750</v>
      </c>
      <c r="K70" s="1923"/>
      <c r="L70" s="1937"/>
      <c r="M70" s="1922" t="s">
        <v>194</v>
      </c>
      <c r="N70" s="1923" t="s">
        <v>1519</v>
      </c>
      <c r="O70" s="2040"/>
      <c r="P70" s="2039"/>
      <c r="Q70" s="2038" t="s">
        <v>194</v>
      </c>
      <c r="R70" s="2037" t="s">
        <v>1518</v>
      </c>
      <c r="S70" s="2037"/>
      <c r="T70" s="2037"/>
      <c r="U70" s="2053"/>
      <c r="V70" s="2037"/>
      <c r="W70" s="2037"/>
      <c r="X70" s="2036"/>
      <c r="Y70" s="1914"/>
      <c r="Z70" s="1913"/>
      <c r="AA70" s="1913"/>
      <c r="AB70" s="1794"/>
      <c r="AC70" s="1912"/>
      <c r="AD70" s="1911"/>
      <c r="AE70" s="1911"/>
      <c r="AF70" s="1910"/>
      <c r="AI70" s="1735" t="str">
        <f>"14:field149:" &amp; IF(I70="■",1,IF(Q70="■",6,IF(M70="■",3,0)))</f>
        <v>14:field149:0</v>
      </c>
    </row>
    <row r="71" spans="1:36" s="1735" customFormat="1" ht="19.5" hidden="1" customHeight="1">
      <c r="A71" s="1766"/>
      <c r="B71" s="1765"/>
      <c r="C71" s="1764"/>
      <c r="D71" s="1816"/>
      <c r="E71" s="1762"/>
      <c r="F71" s="1761"/>
      <c r="G71" s="1793"/>
      <c r="H71" s="1788" t="s">
        <v>1517</v>
      </c>
      <c r="I71" s="1868" t="s">
        <v>194</v>
      </c>
      <c r="J71" s="1830" t="s">
        <v>750</v>
      </c>
      <c r="K71" s="1830"/>
      <c r="L71" s="1919" t="s">
        <v>194</v>
      </c>
      <c r="M71" s="1830" t="s">
        <v>764</v>
      </c>
      <c r="N71" s="1830"/>
      <c r="O71" s="1738"/>
      <c r="P71" s="1817"/>
      <c r="Q71" s="1817"/>
      <c r="R71" s="1817"/>
      <c r="S71" s="1734"/>
      <c r="T71" s="1734"/>
      <c r="U71" s="1817"/>
      <c r="V71" s="1817"/>
      <c r="W71" s="1734"/>
      <c r="X71" s="1957"/>
      <c r="Y71" s="1914"/>
      <c r="Z71" s="1913"/>
      <c r="AA71" s="1913"/>
      <c r="AB71" s="1794"/>
      <c r="AC71" s="1912"/>
      <c r="AD71" s="1911"/>
      <c r="AE71" s="1911"/>
      <c r="AF71" s="1910"/>
      <c r="AI71" s="1735" t="str">
        <f>"14:field239:" &amp; IF(I71="■",1,IF(L71="■",2,0))</f>
        <v>14:field239:0</v>
      </c>
    </row>
    <row r="72" spans="1:36" s="1735" customFormat="1" ht="19.5" hidden="1" customHeight="1">
      <c r="A72" s="1766"/>
      <c r="B72" s="1765"/>
      <c r="C72" s="1764"/>
      <c r="D72" s="1816"/>
      <c r="E72" s="1762"/>
      <c r="F72" s="1761"/>
      <c r="G72" s="1793"/>
      <c r="H72" s="1783"/>
      <c r="I72" s="1819"/>
      <c r="J72" s="1781"/>
      <c r="K72" s="1781"/>
      <c r="L72" s="1818"/>
      <c r="M72" s="1781"/>
      <c r="N72" s="1781"/>
      <c r="O72" s="1738"/>
      <c r="P72" s="1817"/>
      <c r="Q72" s="1780"/>
      <c r="R72" s="1780"/>
      <c r="S72" s="1734"/>
      <c r="T72" s="1734"/>
      <c r="U72" s="1780"/>
      <c r="V72" s="1780"/>
      <c r="W72" s="1734"/>
      <c r="X72" s="1957"/>
      <c r="Y72" s="1914"/>
      <c r="Z72" s="1913"/>
      <c r="AA72" s="1913"/>
      <c r="AB72" s="1794"/>
      <c r="AC72" s="1912"/>
      <c r="AD72" s="1911"/>
      <c r="AE72" s="1911"/>
      <c r="AF72" s="1910"/>
    </row>
    <row r="73" spans="1:36" s="1735" customFormat="1" ht="19.5" hidden="1" customHeight="1">
      <c r="A73" s="1766"/>
      <c r="B73" s="1765"/>
      <c r="C73" s="1764"/>
      <c r="D73" s="1763"/>
      <c r="E73" s="1762"/>
      <c r="F73" s="1761"/>
      <c r="G73" s="1793"/>
      <c r="H73" s="1792" t="s">
        <v>1516</v>
      </c>
      <c r="I73" s="1773" t="s">
        <v>194</v>
      </c>
      <c r="J73" s="1754" t="s">
        <v>750</v>
      </c>
      <c r="K73" s="1754"/>
      <c r="L73" s="1772" t="s">
        <v>194</v>
      </c>
      <c r="M73" s="1754" t="s">
        <v>764</v>
      </c>
      <c r="N73" s="1754"/>
      <c r="O73" s="1768"/>
      <c r="P73" s="1754"/>
      <c r="Q73" s="1768"/>
      <c r="R73" s="1768"/>
      <c r="S73" s="1768"/>
      <c r="T73" s="1768"/>
      <c r="U73" s="1768"/>
      <c r="V73" s="1768"/>
      <c r="W73" s="1768"/>
      <c r="X73" s="1767"/>
      <c r="Y73" s="1913"/>
      <c r="Z73" s="1913"/>
      <c r="AA73" s="1913"/>
      <c r="AB73" s="1794"/>
      <c r="AC73" s="1912"/>
      <c r="AD73" s="1911"/>
      <c r="AE73" s="1911"/>
      <c r="AF73" s="1910"/>
      <c r="AI73" s="1735" t="str">
        <f>"14:field224:" &amp; IF(I73="■",1,IF(L73="■",2,0))</f>
        <v>14:field224:0</v>
      </c>
    </row>
    <row r="74" spans="1:36" s="1735" customFormat="1" ht="19.5" hidden="1" customHeight="1">
      <c r="A74" s="1766"/>
      <c r="B74" s="1765"/>
      <c r="C74" s="1764"/>
      <c r="D74" s="1763"/>
      <c r="E74" s="1762"/>
      <c r="F74" s="1761"/>
      <c r="G74" s="1793"/>
      <c r="H74" s="1759" t="s">
        <v>1755</v>
      </c>
      <c r="I74" s="1924" t="s">
        <v>194</v>
      </c>
      <c r="J74" s="1754" t="s">
        <v>750</v>
      </c>
      <c r="K74" s="1789"/>
      <c r="L74" s="1772" t="s">
        <v>194</v>
      </c>
      <c r="M74" s="1754" t="s">
        <v>764</v>
      </c>
      <c r="N74" s="1754"/>
      <c r="O74" s="1768"/>
      <c r="P74" s="1768"/>
      <c r="Q74" s="1768"/>
      <c r="R74" s="1768"/>
      <c r="S74" s="1768"/>
      <c r="T74" s="1768"/>
      <c r="U74" s="1768"/>
      <c r="V74" s="1768"/>
      <c r="W74" s="1768"/>
      <c r="X74" s="1767"/>
      <c r="Y74" s="1914"/>
      <c r="Z74" s="1913"/>
      <c r="AA74" s="1913"/>
      <c r="AB74" s="1794"/>
      <c r="AC74" s="1912"/>
      <c r="AD74" s="1911"/>
      <c r="AE74" s="1911"/>
      <c r="AF74" s="1910"/>
      <c r="AI74" s="1735" t="str">
        <f>"14:field150:" &amp; IF(I74="■",1,IF(L74="■",2,0))</f>
        <v>14:field150:0</v>
      </c>
    </row>
    <row r="75" spans="1:36" s="1735" customFormat="1" ht="19.5" hidden="1" customHeight="1">
      <c r="A75" s="1752"/>
      <c r="B75" s="1751"/>
      <c r="C75" s="1750"/>
      <c r="D75" s="1749"/>
      <c r="E75" s="1748"/>
      <c r="F75" s="1747"/>
      <c r="G75" s="1808"/>
      <c r="H75" s="1745" t="s">
        <v>1776</v>
      </c>
      <c r="I75" s="1744" t="s">
        <v>194</v>
      </c>
      <c r="J75" s="1741" t="s">
        <v>750</v>
      </c>
      <c r="K75" s="1741"/>
      <c r="L75" s="1743" t="s">
        <v>194</v>
      </c>
      <c r="M75" s="1741" t="s">
        <v>773</v>
      </c>
      <c r="N75" s="1741"/>
      <c r="O75" s="1743" t="s">
        <v>194</v>
      </c>
      <c r="P75" s="1741" t="s">
        <v>1753</v>
      </c>
      <c r="Q75" s="2052"/>
      <c r="R75" s="2052"/>
      <c r="S75" s="2052"/>
      <c r="T75" s="2052"/>
      <c r="U75" s="2052"/>
      <c r="V75" s="2052"/>
      <c r="W75" s="2052"/>
      <c r="X75" s="2051"/>
      <c r="Y75" s="1961"/>
      <c r="Z75" s="1902"/>
      <c r="AA75" s="1902"/>
      <c r="AB75" s="1901"/>
      <c r="AC75" s="1900"/>
      <c r="AD75" s="1899"/>
      <c r="AE75" s="1899"/>
      <c r="AF75" s="1898"/>
      <c r="AI75" s="1735" t="str">
        <f>"14:serteikyo_kyoka_code:" &amp; IF(I75="■",1,IF(L75="■",3,IF(O75="■",4,0)))</f>
        <v>14:serteikyo_kyoka_code:0</v>
      </c>
    </row>
    <row r="76" spans="1:36" s="1735" customFormat="1" ht="18.75" hidden="1" customHeight="1">
      <c r="A76" s="1807"/>
      <c r="B76" s="1806"/>
      <c r="C76" s="1849"/>
      <c r="D76" s="1848"/>
      <c r="E76" s="1886"/>
      <c r="F76" s="1848"/>
      <c r="G76" s="1806"/>
      <c r="H76" s="1801" t="s">
        <v>1533</v>
      </c>
      <c r="I76" s="1800" t="s">
        <v>194</v>
      </c>
      <c r="J76" s="1799" t="s">
        <v>750</v>
      </c>
      <c r="K76" s="1846"/>
      <c r="L76" s="1798" t="s">
        <v>194</v>
      </c>
      <c r="M76" s="1799" t="s">
        <v>764</v>
      </c>
      <c r="N76" s="1799"/>
      <c r="O76" s="1799"/>
      <c r="P76" s="1799"/>
      <c r="Q76" s="1796"/>
      <c r="R76" s="1796"/>
      <c r="S76" s="1796"/>
      <c r="T76" s="1796"/>
      <c r="U76" s="1796"/>
      <c r="V76" s="1796"/>
      <c r="W76" s="1796"/>
      <c r="X76" s="1795"/>
      <c r="Y76" s="1931" t="s">
        <v>194</v>
      </c>
      <c r="Z76" s="1872" t="s">
        <v>749</v>
      </c>
      <c r="AA76" s="1872"/>
      <c r="AB76" s="1929"/>
      <c r="AC76" s="1928"/>
      <c r="AD76" s="1927"/>
      <c r="AE76" s="1927"/>
      <c r="AF76" s="1926"/>
      <c r="AG76" s="1735" t="str">
        <f>"ser_code = '" &amp; IF(A79="■",31,"") &amp; "'"</f>
        <v>ser_code = ''</v>
      </c>
      <c r="AI76" s="1735" t="str">
        <f>"31:tokutiiki_code:" &amp; IF(I76="■",1,IF(L76="■",2,0))</f>
        <v>31:tokutiiki_code:0</v>
      </c>
      <c r="AJ76" s="1735" t="str">
        <f>"31:field203:" &amp; IF(Y76="■",1,IF(Y77="■",2,0))</f>
        <v>31:field203:0</v>
      </c>
    </row>
    <row r="77" spans="1:36" s="1735" customFormat="1" ht="18.75" hidden="1" customHeight="1">
      <c r="A77" s="1825"/>
      <c r="B77" s="1765"/>
      <c r="C77" s="1764"/>
      <c r="D77" s="1763"/>
      <c r="E77" s="1957"/>
      <c r="F77" s="1763"/>
      <c r="G77" s="1765"/>
      <c r="H77" s="1788" t="s">
        <v>1528</v>
      </c>
      <c r="I77" s="1831" t="s">
        <v>194</v>
      </c>
      <c r="J77" s="1830" t="s">
        <v>1523</v>
      </c>
      <c r="K77" s="1830"/>
      <c r="L77" s="1830"/>
      <c r="M77" s="1831" t="s">
        <v>194</v>
      </c>
      <c r="N77" s="1830" t="s">
        <v>1522</v>
      </c>
      <c r="O77" s="1830"/>
      <c r="P77" s="1830"/>
      <c r="Q77" s="1938"/>
      <c r="R77" s="1938"/>
      <c r="S77" s="1938"/>
      <c r="T77" s="1938"/>
      <c r="U77" s="1938"/>
      <c r="V77" s="1938"/>
      <c r="W77" s="1938"/>
      <c r="X77" s="2050"/>
      <c r="Y77" s="1878" t="s">
        <v>194</v>
      </c>
      <c r="Z77" s="1738" t="s">
        <v>754</v>
      </c>
      <c r="AA77" s="1738"/>
      <c r="AB77" s="1794"/>
      <c r="AC77" s="1912"/>
      <c r="AD77" s="1911"/>
      <c r="AE77" s="1911"/>
      <c r="AF77" s="1910"/>
      <c r="AI77" s="1735" t="str">
        <f>"31:chuusankanti_tiiki_code:" &amp; IF(I77="■",1,IF(M77="■",2,0))</f>
        <v>31:chuusankanti_tiiki_code:0</v>
      </c>
    </row>
    <row r="78" spans="1:36" s="1735" customFormat="1" ht="18.75" hidden="1" customHeight="1">
      <c r="A78" s="1825"/>
      <c r="B78" s="1765"/>
      <c r="C78" s="1764"/>
      <c r="D78" s="1763"/>
      <c r="E78" s="1957"/>
      <c r="F78" s="1763"/>
      <c r="G78" s="1765"/>
      <c r="H78" s="1783"/>
      <c r="I78" s="1782"/>
      <c r="J78" s="1781"/>
      <c r="K78" s="1781"/>
      <c r="L78" s="1781"/>
      <c r="M78" s="1782"/>
      <c r="N78" s="1781"/>
      <c r="O78" s="1781"/>
      <c r="P78" s="1781"/>
      <c r="Q78" s="1827"/>
      <c r="R78" s="1827"/>
      <c r="S78" s="1827"/>
      <c r="T78" s="1827"/>
      <c r="U78" s="1827"/>
      <c r="V78" s="1827"/>
      <c r="W78" s="1827"/>
      <c r="X78" s="1826"/>
      <c r="Y78" s="1914"/>
      <c r="Z78" s="1913"/>
      <c r="AA78" s="1913"/>
      <c r="AB78" s="1794"/>
      <c r="AC78" s="1912"/>
      <c r="AD78" s="1911"/>
      <c r="AE78" s="1911"/>
      <c r="AF78" s="1910"/>
    </row>
    <row r="79" spans="1:36" s="1735" customFormat="1" ht="18.75" hidden="1" customHeight="1">
      <c r="A79" s="1776" t="s">
        <v>194</v>
      </c>
      <c r="B79" s="1765">
        <v>31</v>
      </c>
      <c r="C79" s="1764" t="s">
        <v>1775</v>
      </c>
      <c r="D79" s="1763"/>
      <c r="E79" s="1957"/>
      <c r="F79" s="1763"/>
      <c r="G79" s="1765"/>
      <c r="H79" s="1788" t="s">
        <v>1524</v>
      </c>
      <c r="I79" s="1987" t="s">
        <v>194</v>
      </c>
      <c r="J79" s="1830" t="s">
        <v>1523</v>
      </c>
      <c r="K79" s="1830"/>
      <c r="L79" s="1830"/>
      <c r="M79" s="1831" t="s">
        <v>194</v>
      </c>
      <c r="N79" s="1830" t="s">
        <v>1522</v>
      </c>
      <c r="O79" s="1830"/>
      <c r="P79" s="1830"/>
      <c r="Q79" s="1938"/>
      <c r="R79" s="1938"/>
      <c r="S79" s="1938"/>
      <c r="T79" s="1938"/>
      <c r="U79" s="1938"/>
      <c r="V79" s="1938"/>
      <c r="W79" s="1938"/>
      <c r="X79" s="2050"/>
      <c r="Y79" s="1914"/>
      <c r="Z79" s="1913"/>
      <c r="AA79" s="1913"/>
      <c r="AB79" s="1794"/>
      <c r="AC79" s="1912"/>
      <c r="AD79" s="1911"/>
      <c r="AE79" s="1911"/>
      <c r="AF79" s="1910"/>
      <c r="AI79" s="1735" t="str">
        <f>"31:chuusankanti_kibo_code:" &amp; IF(I79="■",1,IF(M79="■",2,0))</f>
        <v>31:chuusankanti_kibo_code:0</v>
      </c>
    </row>
    <row r="80" spans="1:36" s="1735" customFormat="1" ht="18.75" hidden="1" customHeight="1">
      <c r="A80" s="1766"/>
      <c r="B80" s="1765"/>
      <c r="C80" s="1764"/>
      <c r="D80" s="1763"/>
      <c r="E80" s="1957"/>
      <c r="F80" s="1763"/>
      <c r="G80" s="1765"/>
      <c r="H80" s="1783"/>
      <c r="I80" s="2049"/>
      <c r="J80" s="1781"/>
      <c r="K80" s="1781"/>
      <c r="L80" s="1781"/>
      <c r="M80" s="1782"/>
      <c r="N80" s="1781"/>
      <c r="O80" s="1781"/>
      <c r="P80" s="1781"/>
      <c r="Q80" s="1827"/>
      <c r="R80" s="1827"/>
      <c r="S80" s="1827"/>
      <c r="T80" s="1827"/>
      <c r="U80" s="1827"/>
      <c r="V80" s="1827"/>
      <c r="W80" s="1827"/>
      <c r="X80" s="1826"/>
      <c r="Y80" s="1914"/>
      <c r="Z80" s="1913"/>
      <c r="AA80" s="1913"/>
      <c r="AB80" s="1794"/>
      <c r="AC80" s="1912"/>
      <c r="AD80" s="1911"/>
      <c r="AE80" s="1911"/>
      <c r="AF80" s="1910"/>
    </row>
    <row r="81" spans="1:37" s="1735" customFormat="1" ht="18.75" hidden="1" customHeight="1">
      <c r="A81" s="1766"/>
      <c r="B81" s="1765"/>
      <c r="C81" s="1764"/>
      <c r="D81" s="1763"/>
      <c r="E81" s="1957"/>
      <c r="F81" s="1763"/>
      <c r="G81" s="1765"/>
      <c r="H81" s="1833" t="s">
        <v>1774</v>
      </c>
      <c r="I81" s="1776" t="s">
        <v>194</v>
      </c>
      <c r="J81" s="1756" t="s">
        <v>750</v>
      </c>
      <c r="K81" s="1755"/>
      <c r="L81" s="1757" t="s">
        <v>194</v>
      </c>
      <c r="M81" s="1756" t="s">
        <v>764</v>
      </c>
      <c r="N81" s="1756"/>
      <c r="O81" s="1756"/>
      <c r="P81" s="1756"/>
      <c r="Q81" s="1827"/>
      <c r="R81" s="1827"/>
      <c r="S81" s="1827"/>
      <c r="T81" s="1827"/>
      <c r="U81" s="1827"/>
      <c r="V81" s="1827"/>
      <c r="W81" s="1827"/>
      <c r="X81" s="1826"/>
      <c r="Y81" s="1914"/>
      <c r="Z81" s="1913"/>
      <c r="AA81" s="1913"/>
      <c r="AB81" s="1794"/>
      <c r="AC81" s="1912"/>
      <c r="AD81" s="1911"/>
      <c r="AE81" s="1911"/>
      <c r="AF81" s="1910"/>
      <c r="AI81" s="1735" t="str">
        <f>"31:field240:" &amp; IF(I81="■",1,IF(L81="■",2,0))</f>
        <v>31:field240:0</v>
      </c>
    </row>
    <row r="82" spans="1:37" s="1735" customFormat="1" ht="18.75" hidden="1" customHeight="1">
      <c r="A82" s="1752"/>
      <c r="B82" s="1751"/>
      <c r="C82" s="1750"/>
      <c r="D82" s="1749"/>
      <c r="E82" s="1875"/>
      <c r="F82" s="1749"/>
      <c r="G82" s="1751"/>
      <c r="H82" s="2048" t="s">
        <v>1773</v>
      </c>
      <c r="I82" s="1744" t="s">
        <v>194</v>
      </c>
      <c r="J82" s="1741" t="s">
        <v>750</v>
      </c>
      <c r="K82" s="1742"/>
      <c r="L82" s="1743" t="s">
        <v>194</v>
      </c>
      <c r="M82" s="1741" t="s">
        <v>764</v>
      </c>
      <c r="N82" s="1809"/>
      <c r="O82" s="1809"/>
      <c r="P82" s="1809"/>
      <c r="Q82" s="1860"/>
      <c r="R82" s="1860"/>
      <c r="S82" s="1860"/>
      <c r="T82" s="1860"/>
      <c r="U82" s="1860"/>
      <c r="V82" s="1860"/>
      <c r="W82" s="1860"/>
      <c r="X82" s="1859"/>
      <c r="Y82" s="2047"/>
      <c r="Z82" s="1809"/>
      <c r="AA82" s="1809"/>
      <c r="AB82" s="1901"/>
      <c r="AC82" s="1900"/>
      <c r="AD82" s="1899"/>
      <c r="AE82" s="1899"/>
      <c r="AF82" s="1898"/>
      <c r="AI82" s="1735" t="str">
        <f>"31:field241:" &amp; IF(I82="■",1,IF(L82="■",2,0))</f>
        <v>31:field241:0</v>
      </c>
    </row>
    <row r="83" spans="1:37" s="1735" customFormat="1" ht="18.75" hidden="1" customHeight="1">
      <c r="A83" s="1807"/>
      <c r="B83" s="1806"/>
      <c r="C83" s="1805"/>
      <c r="D83" s="1803"/>
      <c r="E83" s="1804"/>
      <c r="F83" s="1803"/>
      <c r="G83" s="1802"/>
      <c r="H83" s="2046" t="s">
        <v>98</v>
      </c>
      <c r="I83" s="1800" t="s">
        <v>194</v>
      </c>
      <c r="J83" s="1799" t="s">
        <v>750</v>
      </c>
      <c r="K83" s="1799"/>
      <c r="L83" s="1845"/>
      <c r="M83" s="1798" t="s">
        <v>194</v>
      </c>
      <c r="N83" s="1799" t="s">
        <v>751</v>
      </c>
      <c r="O83" s="1799"/>
      <c r="P83" s="1845"/>
      <c r="Q83" s="1798" t="s">
        <v>194</v>
      </c>
      <c r="R83" s="1797" t="s">
        <v>752</v>
      </c>
      <c r="S83" s="1797"/>
      <c r="T83" s="1797"/>
      <c r="U83" s="1797"/>
      <c r="V83" s="1797"/>
      <c r="W83" s="1797"/>
      <c r="X83" s="2034"/>
      <c r="Y83" s="1873" t="s">
        <v>194</v>
      </c>
      <c r="Z83" s="1872" t="s">
        <v>749</v>
      </c>
      <c r="AA83" s="1872"/>
      <c r="AB83" s="1929"/>
      <c r="AC83" s="1873" t="s">
        <v>194</v>
      </c>
      <c r="AD83" s="1872" t="s">
        <v>749</v>
      </c>
      <c r="AE83" s="1872"/>
      <c r="AF83" s="1929"/>
      <c r="AG83" s="1735" t="str">
        <f>"ser_code = '" &amp; IF(A97="■",15,"") &amp; "'"</f>
        <v>ser_code = ''</v>
      </c>
      <c r="AI83" s="1735" t="str">
        <f>"15:"&amp;IF(AND(I83="□",M83="□",Q83="□"),"ketu_kangos_code:0",IF(I83="■","ketu_kangos_code:1:ketu_kshoku_code:1",IF(M83="■","ketu_kangos_code:2","ketu_kangos_code:1")&amp;IF(Q83="■",":ketu_kshoku_code:2",":ketu_kshoku_code:1")))</f>
        <v>15:ketu_kangos_code:0</v>
      </c>
      <c r="AJ83" s="1735" t="str">
        <f>"15:field203:" &amp; IF(Y83="■",1,IF(Y84="■",2,0))</f>
        <v>15:field203:0</v>
      </c>
      <c r="AK83" s="1735" t="str">
        <f>"15:waribiki_code:" &amp; IF(AC83="■",1,IF(AC84="■",2,0))</f>
        <v>15:waribiki_code:0</v>
      </c>
    </row>
    <row r="84" spans="1:37" s="1735" customFormat="1" ht="19.5" hidden="1" customHeight="1">
      <c r="A84" s="1766"/>
      <c r="B84" s="1765"/>
      <c r="C84" s="1764"/>
      <c r="D84" s="1763"/>
      <c r="E84" s="1762"/>
      <c r="F84" s="1761"/>
      <c r="G84" s="1793"/>
      <c r="H84" s="1792" t="s">
        <v>760</v>
      </c>
      <c r="I84" s="1773" t="s">
        <v>194</v>
      </c>
      <c r="J84" s="1754" t="s">
        <v>758</v>
      </c>
      <c r="K84" s="1789"/>
      <c r="L84" s="1791"/>
      <c r="M84" s="1772" t="s">
        <v>194</v>
      </c>
      <c r="N84" s="1754" t="s">
        <v>761</v>
      </c>
      <c r="O84" s="1920"/>
      <c r="P84" s="1754"/>
      <c r="Q84" s="1768"/>
      <c r="R84" s="1768"/>
      <c r="S84" s="1768"/>
      <c r="T84" s="1768"/>
      <c r="U84" s="1768"/>
      <c r="V84" s="1768"/>
      <c r="W84" s="1768"/>
      <c r="X84" s="1767"/>
      <c r="Y84" s="1878" t="s">
        <v>194</v>
      </c>
      <c r="Z84" s="1738" t="s">
        <v>754</v>
      </c>
      <c r="AA84" s="1913"/>
      <c r="AB84" s="1794"/>
      <c r="AC84" s="1776" t="s">
        <v>194</v>
      </c>
      <c r="AD84" s="1738" t="s">
        <v>754</v>
      </c>
      <c r="AE84" s="1913"/>
      <c r="AF84" s="1794"/>
      <c r="AG84" s="1735" t="str">
        <f>"15:sisetukbn_code:" &amp; IF(D96="■",4,IF(D97="■",6,IF(D98="■",7,0)))</f>
        <v>15:sisetukbn_code:0</v>
      </c>
      <c r="AI84" s="1735" t="str">
        <f>"15:field223:" &amp; IF(I84="■",1,IF(M84="■",2,0))</f>
        <v>15:field223:0</v>
      </c>
    </row>
    <row r="85" spans="1:37" s="1735" customFormat="1" ht="19.5" hidden="1" customHeight="1">
      <c r="A85" s="1766"/>
      <c r="B85" s="1765"/>
      <c r="C85" s="1764"/>
      <c r="D85" s="1763"/>
      <c r="E85" s="1762"/>
      <c r="F85" s="1761"/>
      <c r="G85" s="1793"/>
      <c r="H85" s="1792" t="s">
        <v>762</v>
      </c>
      <c r="I85" s="1773" t="s">
        <v>194</v>
      </c>
      <c r="J85" s="1754" t="s">
        <v>758</v>
      </c>
      <c r="K85" s="1789"/>
      <c r="L85" s="1791"/>
      <c r="M85" s="1772" t="s">
        <v>194</v>
      </c>
      <c r="N85" s="1754" t="s">
        <v>761</v>
      </c>
      <c r="O85" s="1754"/>
      <c r="P85" s="1754"/>
      <c r="Q85" s="1768"/>
      <c r="R85" s="1768"/>
      <c r="S85" s="1768"/>
      <c r="T85" s="1768"/>
      <c r="U85" s="1768"/>
      <c r="V85" s="1768"/>
      <c r="W85" s="1768"/>
      <c r="X85" s="1767"/>
      <c r="Y85" s="1816"/>
      <c r="Z85" s="1738"/>
      <c r="AA85" s="1913"/>
      <c r="AB85" s="1794"/>
      <c r="AC85" s="1825"/>
      <c r="AD85" s="1738"/>
      <c r="AE85" s="1913"/>
      <c r="AF85" s="1794"/>
      <c r="AI85" s="1735" t="str">
        <f>"15:field232:" &amp; IF(I85="■",1,IF(M85="■",2,0))</f>
        <v>15:field232:0</v>
      </c>
    </row>
    <row r="86" spans="1:37" s="1735" customFormat="1" ht="18.75" hidden="1" customHeight="1">
      <c r="A86" s="1766"/>
      <c r="B86" s="1765"/>
      <c r="C86" s="1778"/>
      <c r="D86" s="1761"/>
      <c r="E86" s="1762"/>
      <c r="F86" s="1761"/>
      <c r="G86" s="1793"/>
      <c r="H86" s="1788" t="s">
        <v>1771</v>
      </c>
      <c r="I86" s="1868" t="s">
        <v>194</v>
      </c>
      <c r="J86" s="1830" t="s">
        <v>750</v>
      </c>
      <c r="K86" s="1830"/>
      <c r="L86" s="1919" t="s">
        <v>194</v>
      </c>
      <c r="M86" s="1830" t="s">
        <v>764</v>
      </c>
      <c r="N86" s="1830"/>
      <c r="O86" s="1785"/>
      <c r="P86" s="1785"/>
      <c r="Q86" s="1785"/>
      <c r="R86" s="1785"/>
      <c r="S86" s="1785"/>
      <c r="T86" s="1785"/>
      <c r="U86" s="1785"/>
      <c r="V86" s="1785"/>
      <c r="W86" s="1785"/>
      <c r="X86" s="1784"/>
      <c r="Y86" s="1734"/>
      <c r="Z86" s="1734"/>
      <c r="AA86" s="1734"/>
      <c r="AB86" s="1794"/>
      <c r="AC86" s="1763"/>
      <c r="AD86" s="1734"/>
      <c r="AE86" s="1913"/>
      <c r="AF86" s="1794"/>
      <c r="AI86" s="1735" t="str">
        <f>"15:field204:" &amp; IF(I86="■",1,IF(L86="■",2,0))</f>
        <v>15:field204:0</v>
      </c>
    </row>
    <row r="87" spans="1:37" s="1735" customFormat="1" ht="18.75" hidden="1" customHeight="1">
      <c r="A87" s="1766"/>
      <c r="B87" s="1765"/>
      <c r="C87" s="1778"/>
      <c r="D87" s="1761"/>
      <c r="E87" s="1762"/>
      <c r="F87" s="1761"/>
      <c r="G87" s="1793"/>
      <c r="H87" s="1822"/>
      <c r="I87" s="1821"/>
      <c r="J87" s="1786"/>
      <c r="K87" s="1786"/>
      <c r="L87" s="1820"/>
      <c r="M87" s="1786"/>
      <c r="N87" s="1786"/>
      <c r="O87" s="1734"/>
      <c r="P87" s="1734"/>
      <c r="Q87" s="1734"/>
      <c r="R87" s="1734"/>
      <c r="S87" s="1734"/>
      <c r="T87" s="1734"/>
      <c r="U87" s="1734"/>
      <c r="V87" s="1734"/>
      <c r="W87" s="1734"/>
      <c r="X87" s="1957"/>
      <c r="Y87" s="1914"/>
      <c r="Z87" s="1913"/>
      <c r="AA87" s="1913"/>
      <c r="AB87" s="1794"/>
      <c r="AC87" s="1914"/>
      <c r="AD87" s="1913"/>
      <c r="AE87" s="1913"/>
      <c r="AF87" s="1794"/>
    </row>
    <row r="88" spans="1:37" s="1735" customFormat="1" ht="18.75" hidden="1" customHeight="1">
      <c r="A88" s="1766"/>
      <c r="B88" s="1765"/>
      <c r="C88" s="1778"/>
      <c r="D88" s="1761"/>
      <c r="E88" s="1762"/>
      <c r="F88" s="1761"/>
      <c r="G88" s="1793"/>
      <c r="H88" s="1783"/>
      <c r="I88" s="1819"/>
      <c r="J88" s="1781"/>
      <c r="K88" s="1781"/>
      <c r="L88" s="1818"/>
      <c r="M88" s="1781"/>
      <c r="N88" s="1781"/>
      <c r="O88" s="1780"/>
      <c r="P88" s="1780"/>
      <c r="Q88" s="1780"/>
      <c r="R88" s="1780"/>
      <c r="S88" s="1780"/>
      <c r="T88" s="1780"/>
      <c r="U88" s="1780"/>
      <c r="V88" s="1780"/>
      <c r="W88" s="1780"/>
      <c r="X88" s="1779"/>
      <c r="Y88" s="1914"/>
      <c r="Z88" s="1913"/>
      <c r="AA88" s="1913"/>
      <c r="AB88" s="1794"/>
      <c r="AC88" s="1914"/>
      <c r="AD88" s="1913"/>
      <c r="AE88" s="1913"/>
      <c r="AF88" s="1794"/>
    </row>
    <row r="89" spans="1:37" s="1735" customFormat="1" ht="18.75" hidden="1" customHeight="1">
      <c r="A89" s="1766"/>
      <c r="B89" s="1765"/>
      <c r="C89" s="1778"/>
      <c r="D89" s="1761"/>
      <c r="E89" s="1762"/>
      <c r="F89" s="1761"/>
      <c r="G89" s="1793"/>
      <c r="H89" s="1759" t="s">
        <v>1514</v>
      </c>
      <c r="I89" s="1878" t="s">
        <v>194</v>
      </c>
      <c r="J89" s="1754" t="s">
        <v>755</v>
      </c>
      <c r="K89" s="1789"/>
      <c r="L89" s="1791"/>
      <c r="M89" s="1878" t="s">
        <v>194</v>
      </c>
      <c r="N89" s="1754" t="s">
        <v>756</v>
      </c>
      <c r="O89" s="1768"/>
      <c r="P89" s="1768"/>
      <c r="Q89" s="1768"/>
      <c r="R89" s="1768"/>
      <c r="S89" s="1768"/>
      <c r="T89" s="1768"/>
      <c r="U89" s="1768"/>
      <c r="V89" s="1768"/>
      <c r="W89" s="1768"/>
      <c r="X89" s="1767"/>
      <c r="Y89" s="1914"/>
      <c r="Z89" s="1913"/>
      <c r="AA89" s="1913"/>
      <c r="AB89" s="1794"/>
      <c r="AC89" s="1914"/>
      <c r="AD89" s="1913"/>
      <c r="AE89" s="1913"/>
      <c r="AF89" s="1794"/>
      <c r="AI89" s="1735" t="str">
        <f>"15:timeser_code:" &amp; IF(I89="■",1,IF(M89="■",2,0))</f>
        <v>15:timeser_code:0</v>
      </c>
    </row>
    <row r="90" spans="1:37" s="1735" customFormat="1" ht="18.75" hidden="1" customHeight="1">
      <c r="A90" s="1766"/>
      <c r="B90" s="1765"/>
      <c r="C90" s="1778"/>
      <c r="D90" s="1761"/>
      <c r="E90" s="1762"/>
      <c r="F90" s="1761"/>
      <c r="G90" s="1793"/>
      <c r="H90" s="1788" t="s">
        <v>1513</v>
      </c>
      <c r="I90" s="1831" t="s">
        <v>194</v>
      </c>
      <c r="J90" s="1830" t="s">
        <v>750</v>
      </c>
      <c r="K90" s="1830"/>
      <c r="L90" s="1831" t="s">
        <v>194</v>
      </c>
      <c r="M90" s="1830" t="s">
        <v>764</v>
      </c>
      <c r="N90" s="1830"/>
      <c r="O90" s="1923"/>
      <c r="P90" s="1923"/>
      <c r="Q90" s="1923"/>
      <c r="R90" s="1923"/>
      <c r="S90" s="1923"/>
      <c r="T90" s="1923"/>
      <c r="U90" s="1923"/>
      <c r="V90" s="1923"/>
      <c r="W90" s="1923"/>
      <c r="X90" s="1956"/>
      <c r="Y90" s="1914"/>
      <c r="Z90" s="1913"/>
      <c r="AA90" s="1913"/>
      <c r="AB90" s="1794"/>
      <c r="AC90" s="1914"/>
      <c r="AD90" s="1913"/>
      <c r="AE90" s="1913"/>
      <c r="AF90" s="1794"/>
      <c r="AI90" s="1735" t="str">
        <f>"15:field181:" &amp; IF(I90="■",1,IF(L90="■",2,0))</f>
        <v>15:field181:0</v>
      </c>
    </row>
    <row r="91" spans="1:37" s="1735" customFormat="1" ht="18.75" hidden="1" customHeight="1">
      <c r="A91" s="1766"/>
      <c r="B91" s="1765"/>
      <c r="C91" s="1778"/>
      <c r="D91" s="1761"/>
      <c r="E91" s="1762"/>
      <c r="F91" s="1761"/>
      <c r="G91" s="1793"/>
      <c r="H91" s="1783"/>
      <c r="I91" s="1782"/>
      <c r="J91" s="1781"/>
      <c r="K91" s="1781"/>
      <c r="L91" s="1782"/>
      <c r="M91" s="1781"/>
      <c r="N91" s="1781"/>
      <c r="O91" s="1756"/>
      <c r="P91" s="1756"/>
      <c r="Q91" s="1756"/>
      <c r="R91" s="1756"/>
      <c r="S91" s="1756"/>
      <c r="T91" s="1756"/>
      <c r="U91" s="1756"/>
      <c r="V91" s="1756"/>
      <c r="W91" s="1756"/>
      <c r="X91" s="1814"/>
      <c r="Y91" s="1914"/>
      <c r="Z91" s="1913"/>
      <c r="AA91" s="1913"/>
      <c r="AB91" s="1794"/>
      <c r="AC91" s="1914"/>
      <c r="AD91" s="1913"/>
      <c r="AE91" s="1913"/>
      <c r="AF91" s="1794"/>
    </row>
    <row r="92" spans="1:37" s="1735" customFormat="1" ht="18.75" hidden="1" customHeight="1">
      <c r="A92" s="1766"/>
      <c r="B92" s="1765"/>
      <c r="C92" s="1778"/>
      <c r="D92" s="1761"/>
      <c r="E92" s="1762"/>
      <c r="F92" s="1761"/>
      <c r="G92" s="1793"/>
      <c r="H92" s="1788" t="s">
        <v>1512</v>
      </c>
      <c r="I92" s="1831" t="s">
        <v>194</v>
      </c>
      <c r="J92" s="1830" t="s">
        <v>750</v>
      </c>
      <c r="K92" s="1830"/>
      <c r="L92" s="1831" t="s">
        <v>194</v>
      </c>
      <c r="M92" s="1830" t="s">
        <v>764</v>
      </c>
      <c r="N92" s="1830"/>
      <c r="O92" s="1923"/>
      <c r="P92" s="1923"/>
      <c r="Q92" s="1923"/>
      <c r="R92" s="1923"/>
      <c r="S92" s="1923"/>
      <c r="T92" s="1923"/>
      <c r="U92" s="1923"/>
      <c r="V92" s="1923"/>
      <c r="W92" s="1923"/>
      <c r="X92" s="1956"/>
      <c r="Y92" s="1914"/>
      <c r="Z92" s="1913"/>
      <c r="AA92" s="1913"/>
      <c r="AB92" s="1794"/>
      <c r="AC92" s="1914"/>
      <c r="AD92" s="1913"/>
      <c r="AE92" s="1913"/>
      <c r="AF92" s="1794"/>
      <c r="AI92" s="1735" t="str">
        <f>"15:field182:" &amp; IF(I92="■",1,IF(L92="■",2,0))</f>
        <v>15:field182:0</v>
      </c>
    </row>
    <row r="93" spans="1:37" s="1735" customFormat="1" ht="18.75" hidden="1" customHeight="1">
      <c r="A93" s="1766"/>
      <c r="B93" s="1765"/>
      <c r="C93" s="1778"/>
      <c r="D93" s="1761"/>
      <c r="E93" s="1762"/>
      <c r="F93" s="1761"/>
      <c r="G93" s="1793"/>
      <c r="H93" s="1783"/>
      <c r="I93" s="1782"/>
      <c r="J93" s="1781"/>
      <c r="K93" s="1781"/>
      <c r="L93" s="1782"/>
      <c r="M93" s="1781"/>
      <c r="N93" s="1781"/>
      <c r="O93" s="1756"/>
      <c r="P93" s="1756"/>
      <c r="Q93" s="1756"/>
      <c r="R93" s="1756"/>
      <c r="S93" s="1756"/>
      <c r="T93" s="1756"/>
      <c r="U93" s="1756"/>
      <c r="V93" s="1756"/>
      <c r="W93" s="1756"/>
      <c r="X93" s="1814"/>
      <c r="Y93" s="1914"/>
      <c r="Z93" s="1913"/>
      <c r="AA93" s="1913"/>
      <c r="AB93" s="1794"/>
      <c r="AC93" s="1914"/>
      <c r="AD93" s="1913"/>
      <c r="AE93" s="1913"/>
      <c r="AF93" s="1794"/>
    </row>
    <row r="94" spans="1:37" s="1735" customFormat="1" ht="18.75" hidden="1" customHeight="1">
      <c r="A94" s="1766"/>
      <c r="B94" s="1765"/>
      <c r="C94" s="1778"/>
      <c r="D94" s="1761"/>
      <c r="E94" s="1762"/>
      <c r="F94" s="1761"/>
      <c r="G94" s="1793"/>
      <c r="H94" s="1788" t="s">
        <v>1511</v>
      </c>
      <c r="I94" s="1831" t="s">
        <v>194</v>
      </c>
      <c r="J94" s="1830" t="s">
        <v>750</v>
      </c>
      <c r="K94" s="1830"/>
      <c r="L94" s="1831" t="s">
        <v>194</v>
      </c>
      <c r="M94" s="1830" t="s">
        <v>764</v>
      </c>
      <c r="N94" s="1830"/>
      <c r="O94" s="1923"/>
      <c r="P94" s="1923"/>
      <c r="Q94" s="1923"/>
      <c r="R94" s="1923"/>
      <c r="S94" s="1923"/>
      <c r="T94" s="1923"/>
      <c r="U94" s="1923"/>
      <c r="V94" s="1923"/>
      <c r="W94" s="1923"/>
      <c r="X94" s="1956"/>
      <c r="Y94" s="1914"/>
      <c r="Z94" s="1913"/>
      <c r="AA94" s="1913"/>
      <c r="AB94" s="1794"/>
      <c r="AC94" s="1914"/>
      <c r="AD94" s="1913"/>
      <c r="AE94" s="1913"/>
      <c r="AF94" s="1794"/>
      <c r="AI94" s="1735" t="str">
        <f>"15:field183:" &amp; IF(I94="■",1,IF(L94="■",2,0))</f>
        <v>15:field183:0</v>
      </c>
    </row>
    <row r="95" spans="1:37" s="1735" customFormat="1" ht="18.75" hidden="1" customHeight="1">
      <c r="A95" s="1766"/>
      <c r="B95" s="1765"/>
      <c r="C95" s="1778"/>
      <c r="D95" s="1761"/>
      <c r="E95" s="1762"/>
      <c r="F95" s="1761"/>
      <c r="G95" s="1793"/>
      <c r="H95" s="1783"/>
      <c r="I95" s="1782"/>
      <c r="J95" s="1781"/>
      <c r="K95" s="1781"/>
      <c r="L95" s="1782"/>
      <c r="M95" s="1781"/>
      <c r="N95" s="1781"/>
      <c r="O95" s="1756"/>
      <c r="P95" s="1756"/>
      <c r="Q95" s="1756"/>
      <c r="R95" s="1756"/>
      <c r="S95" s="1756"/>
      <c r="T95" s="1756"/>
      <c r="U95" s="1756"/>
      <c r="V95" s="1756"/>
      <c r="W95" s="1756"/>
      <c r="X95" s="1814"/>
      <c r="Y95" s="1914"/>
      <c r="Z95" s="1913"/>
      <c r="AA95" s="1913"/>
      <c r="AB95" s="1794"/>
      <c r="AC95" s="1914"/>
      <c r="AD95" s="1913"/>
      <c r="AE95" s="1913"/>
      <c r="AF95" s="1794"/>
    </row>
    <row r="96" spans="1:37" s="1735" customFormat="1" ht="18.75" hidden="1" customHeight="1">
      <c r="A96" s="1766"/>
      <c r="B96" s="1765"/>
      <c r="C96" s="1778"/>
      <c r="D96" s="1878" t="s">
        <v>194</v>
      </c>
      <c r="E96" s="1762" t="s">
        <v>1509</v>
      </c>
      <c r="F96" s="1761"/>
      <c r="G96" s="1793"/>
      <c r="H96" s="1788" t="s">
        <v>1510</v>
      </c>
      <c r="I96" s="1831" t="s">
        <v>194</v>
      </c>
      <c r="J96" s="1830" t="s">
        <v>750</v>
      </c>
      <c r="K96" s="1830"/>
      <c r="L96" s="1831" t="s">
        <v>194</v>
      </c>
      <c r="M96" s="1830" t="s">
        <v>764</v>
      </c>
      <c r="N96" s="1830"/>
      <c r="O96" s="1923"/>
      <c r="P96" s="1923"/>
      <c r="Q96" s="1923"/>
      <c r="R96" s="1923"/>
      <c r="S96" s="1923"/>
      <c r="T96" s="1923"/>
      <c r="U96" s="1923"/>
      <c r="V96" s="1923"/>
      <c r="W96" s="1923"/>
      <c r="X96" s="1956"/>
      <c r="Y96" s="1914"/>
      <c r="Z96" s="1913"/>
      <c r="AA96" s="1913"/>
      <c r="AB96" s="1794"/>
      <c r="AC96" s="1914"/>
      <c r="AD96" s="1913"/>
      <c r="AE96" s="1913"/>
      <c r="AF96" s="1794"/>
      <c r="AI96" s="1735" t="str">
        <f>"15:field184:" &amp; IF(I96="■",1,IF(L96="■",2,0))</f>
        <v>15:field184:0</v>
      </c>
    </row>
    <row r="97" spans="1:36" s="1735" customFormat="1" ht="18.75" hidden="1" customHeight="1">
      <c r="A97" s="1776" t="s">
        <v>194</v>
      </c>
      <c r="B97" s="1765">
        <v>15</v>
      </c>
      <c r="C97" s="1778" t="s">
        <v>4</v>
      </c>
      <c r="D97" s="1878" t="s">
        <v>194</v>
      </c>
      <c r="E97" s="1762" t="s">
        <v>1508</v>
      </c>
      <c r="F97" s="1761"/>
      <c r="G97" s="1793"/>
      <c r="H97" s="1783"/>
      <c r="I97" s="1782"/>
      <c r="J97" s="1781"/>
      <c r="K97" s="1781"/>
      <c r="L97" s="1782"/>
      <c r="M97" s="1781"/>
      <c r="N97" s="1781"/>
      <c r="O97" s="1756"/>
      <c r="P97" s="1756"/>
      <c r="Q97" s="1756"/>
      <c r="R97" s="1756"/>
      <c r="S97" s="1756"/>
      <c r="T97" s="1756"/>
      <c r="U97" s="1756"/>
      <c r="V97" s="1756"/>
      <c r="W97" s="1756"/>
      <c r="X97" s="1814"/>
      <c r="Y97" s="1914"/>
      <c r="Z97" s="1913"/>
      <c r="AA97" s="1913"/>
      <c r="AB97" s="1794"/>
      <c r="AC97" s="1914"/>
      <c r="AD97" s="1913"/>
      <c r="AE97" s="1913"/>
      <c r="AF97" s="1794"/>
    </row>
    <row r="98" spans="1:36" s="1735" customFormat="1" ht="18.75" hidden="1" customHeight="1">
      <c r="A98" s="1766"/>
      <c r="B98" s="1765"/>
      <c r="C98" s="1778"/>
      <c r="D98" s="1878" t="s">
        <v>194</v>
      </c>
      <c r="E98" s="1762" t="s">
        <v>1506</v>
      </c>
      <c r="F98" s="1761"/>
      <c r="G98" s="1793"/>
      <c r="H98" s="1777" t="s">
        <v>1507</v>
      </c>
      <c r="I98" s="1773" t="s">
        <v>194</v>
      </c>
      <c r="J98" s="1754" t="s">
        <v>750</v>
      </c>
      <c r="K98" s="1789"/>
      <c r="L98" s="1772" t="s">
        <v>194</v>
      </c>
      <c r="M98" s="1754" t="s">
        <v>764</v>
      </c>
      <c r="N98" s="1771"/>
      <c r="O98" s="1771"/>
      <c r="P98" s="1771"/>
      <c r="Q98" s="1771"/>
      <c r="R98" s="1771"/>
      <c r="S98" s="1771"/>
      <c r="T98" s="1771"/>
      <c r="U98" s="1771"/>
      <c r="V98" s="1771"/>
      <c r="W98" s="1771"/>
      <c r="X98" s="1770"/>
      <c r="Y98" s="1914"/>
      <c r="Z98" s="1913"/>
      <c r="AA98" s="1913"/>
      <c r="AB98" s="1794"/>
      <c r="AC98" s="1914"/>
      <c r="AD98" s="1913"/>
      <c r="AE98" s="1913"/>
      <c r="AF98" s="1794"/>
      <c r="AI98" s="1735" t="str">
        <f>"15:field151:" &amp; IF(I98="■",1,IF(L98="■",2,0))</f>
        <v>15:field151:0</v>
      </c>
    </row>
    <row r="99" spans="1:36" s="1735" customFormat="1" ht="18.75" hidden="1" customHeight="1">
      <c r="A99" s="1766"/>
      <c r="B99" s="1765"/>
      <c r="C99" s="1778"/>
      <c r="D99" s="1761"/>
      <c r="E99" s="1762"/>
      <c r="F99" s="1761"/>
      <c r="G99" s="1793"/>
      <c r="H99" s="1759" t="s">
        <v>1505</v>
      </c>
      <c r="I99" s="1878" t="s">
        <v>194</v>
      </c>
      <c r="J99" s="1756" t="s">
        <v>750</v>
      </c>
      <c r="K99" s="1756"/>
      <c r="L99" s="1772" t="s">
        <v>194</v>
      </c>
      <c r="M99" s="1756" t="s">
        <v>784</v>
      </c>
      <c r="N99" s="1754"/>
      <c r="O99" s="1878" t="s">
        <v>194</v>
      </c>
      <c r="P99" s="1754" t="s">
        <v>785</v>
      </c>
      <c r="Q99" s="1771"/>
      <c r="R99" s="1771"/>
      <c r="S99" s="1771"/>
      <c r="T99" s="1771"/>
      <c r="U99" s="1771"/>
      <c r="V99" s="1771"/>
      <c r="W99" s="1771"/>
      <c r="X99" s="1770"/>
      <c r="Y99" s="1914"/>
      <c r="Z99" s="1913"/>
      <c r="AA99" s="1913"/>
      <c r="AB99" s="1794"/>
      <c r="AC99" s="1914"/>
      <c r="AD99" s="1913"/>
      <c r="AE99" s="1913"/>
      <c r="AF99" s="1794"/>
      <c r="AI99" s="1735" t="str">
        <f>"15:nyukai_code:"&amp;IF(I99="■",1,IF(O99="■",3,IF(L99="■",2,0)))</f>
        <v>15:nyukai_code:0</v>
      </c>
    </row>
    <row r="100" spans="1:36" s="1735" customFormat="1" ht="18.75" hidden="1" customHeight="1">
      <c r="A100" s="1766"/>
      <c r="B100" s="1765"/>
      <c r="C100" s="1778"/>
      <c r="D100" s="1761"/>
      <c r="E100" s="1762"/>
      <c r="F100" s="1761"/>
      <c r="G100" s="1793"/>
      <c r="H100" s="1759" t="s">
        <v>1504</v>
      </c>
      <c r="I100" s="1924" t="s">
        <v>194</v>
      </c>
      <c r="J100" s="1754" t="s">
        <v>750</v>
      </c>
      <c r="K100" s="1789"/>
      <c r="L100" s="1878" t="s">
        <v>194</v>
      </c>
      <c r="M100" s="1754" t="s">
        <v>764</v>
      </c>
      <c r="N100" s="1771"/>
      <c r="O100" s="1771"/>
      <c r="P100" s="1771"/>
      <c r="Q100" s="1771"/>
      <c r="R100" s="1771"/>
      <c r="S100" s="1771"/>
      <c r="T100" s="1771"/>
      <c r="U100" s="1771"/>
      <c r="V100" s="1771"/>
      <c r="W100" s="1771"/>
      <c r="X100" s="1770"/>
      <c r="Y100" s="1914"/>
      <c r="Z100" s="1913"/>
      <c r="AA100" s="1913"/>
      <c r="AB100" s="1794"/>
      <c r="AC100" s="1914"/>
      <c r="AD100" s="1913"/>
      <c r="AE100" s="1913"/>
      <c r="AF100" s="1794"/>
      <c r="AI100" s="1735" t="str">
        <f>"15:field153:" &amp; IF(I100="■",1,IF(L100="■",2,0))</f>
        <v>15:field153:0</v>
      </c>
    </row>
    <row r="101" spans="1:36" s="1735" customFormat="1" ht="18.75" hidden="1" customHeight="1">
      <c r="A101" s="1766"/>
      <c r="B101" s="1765"/>
      <c r="C101" s="1778"/>
      <c r="D101" s="1761"/>
      <c r="E101" s="1762"/>
      <c r="F101" s="1761"/>
      <c r="G101" s="1793"/>
      <c r="H101" s="1759" t="s">
        <v>152</v>
      </c>
      <c r="I101" s="1924" t="s">
        <v>194</v>
      </c>
      <c r="J101" s="1754" t="s">
        <v>750</v>
      </c>
      <c r="K101" s="1754"/>
      <c r="L101" s="1922" t="s">
        <v>194</v>
      </c>
      <c r="M101" s="1754" t="s">
        <v>773</v>
      </c>
      <c r="N101" s="1754"/>
      <c r="O101" s="1878" t="s">
        <v>194</v>
      </c>
      <c r="P101" s="1754" t="s">
        <v>774</v>
      </c>
      <c r="Q101" s="1771"/>
      <c r="R101" s="1771"/>
      <c r="S101" s="1771"/>
      <c r="T101" s="1771"/>
      <c r="U101" s="1771"/>
      <c r="V101" s="1771"/>
      <c r="W101" s="1771"/>
      <c r="X101" s="1770"/>
      <c r="Y101" s="1914"/>
      <c r="Z101" s="1913"/>
      <c r="AA101" s="1913"/>
      <c r="AB101" s="1794"/>
      <c r="AC101" s="1914"/>
      <c r="AD101" s="1913"/>
      <c r="AE101" s="1913"/>
      <c r="AF101" s="1794"/>
      <c r="AI101" s="1735" t="str">
        <f>"15:field185:" &amp; IF(I101="■",1,IF(L101="■",3,IF(O101="■",2,0)))</f>
        <v>15:field185:0</v>
      </c>
    </row>
    <row r="102" spans="1:36" s="1735" customFormat="1" ht="18.75" hidden="1" customHeight="1">
      <c r="A102" s="1766"/>
      <c r="B102" s="1765"/>
      <c r="C102" s="1778"/>
      <c r="D102" s="1761"/>
      <c r="E102" s="1762"/>
      <c r="F102" s="1761"/>
      <c r="G102" s="1793"/>
      <c r="H102" s="1759" t="s">
        <v>1772</v>
      </c>
      <c r="I102" s="1924" t="s">
        <v>194</v>
      </c>
      <c r="J102" s="1754" t="s">
        <v>750</v>
      </c>
      <c r="K102" s="1754"/>
      <c r="L102" s="1922" t="s">
        <v>194</v>
      </c>
      <c r="M102" s="1754" t="s">
        <v>1502</v>
      </c>
      <c r="N102" s="1775"/>
      <c r="O102" s="1775"/>
      <c r="P102" s="1878" t="s">
        <v>194</v>
      </c>
      <c r="Q102" s="1754" t="s">
        <v>1501</v>
      </c>
      <c r="R102" s="1775"/>
      <c r="S102" s="1775"/>
      <c r="T102" s="1775"/>
      <c r="U102" s="1775"/>
      <c r="V102" s="1775"/>
      <c r="W102" s="1775"/>
      <c r="X102" s="1774"/>
      <c r="Y102" s="1914"/>
      <c r="Z102" s="1913"/>
      <c r="AA102" s="1913"/>
      <c r="AB102" s="1794"/>
      <c r="AC102" s="1914"/>
      <c r="AD102" s="1913"/>
      <c r="AE102" s="1913"/>
      <c r="AF102" s="1794"/>
      <c r="AI102" s="1735" t="str">
        <f>"15:field205:" &amp; IF(I102="■",1,IF(P102="■",3,IF(L102="■",2,0)))</f>
        <v>15:field205:0</v>
      </c>
    </row>
    <row r="103" spans="1:36" s="1735" customFormat="1" ht="18.75" hidden="1" customHeight="1">
      <c r="A103" s="1766"/>
      <c r="B103" s="1765"/>
      <c r="C103" s="1778"/>
      <c r="D103" s="1761"/>
      <c r="E103" s="1762"/>
      <c r="F103" s="1761"/>
      <c r="G103" s="1793"/>
      <c r="H103" s="1759" t="s">
        <v>780</v>
      </c>
      <c r="I103" s="1924" t="s">
        <v>194</v>
      </c>
      <c r="J103" s="1754" t="s">
        <v>750</v>
      </c>
      <c r="K103" s="1789"/>
      <c r="L103" s="1772" t="s">
        <v>194</v>
      </c>
      <c r="M103" s="1754" t="s">
        <v>764</v>
      </c>
      <c r="N103" s="1771"/>
      <c r="O103" s="1771"/>
      <c r="P103" s="1771"/>
      <c r="Q103" s="1771"/>
      <c r="R103" s="1771"/>
      <c r="S103" s="1771"/>
      <c r="T103" s="1771"/>
      <c r="U103" s="1771"/>
      <c r="V103" s="1771"/>
      <c r="W103" s="1771"/>
      <c r="X103" s="1770"/>
      <c r="Y103" s="1914"/>
      <c r="Z103" s="1913"/>
      <c r="AA103" s="1913"/>
      <c r="AB103" s="1794"/>
      <c r="AC103" s="1914"/>
      <c r="AD103" s="1913"/>
      <c r="AE103" s="1913"/>
      <c r="AF103" s="1794"/>
      <c r="AI103" s="1735" t="str">
        <f>"15:field186:" &amp; IF(I103="■",1,IF(L103="■",2,0))</f>
        <v>15:field186:0</v>
      </c>
    </row>
    <row r="104" spans="1:36" s="1735" customFormat="1" ht="18.75" hidden="1" customHeight="1">
      <c r="A104" s="1766"/>
      <c r="B104" s="1765"/>
      <c r="C104" s="1778"/>
      <c r="D104" s="1761"/>
      <c r="E104" s="1762"/>
      <c r="F104" s="1761"/>
      <c r="G104" s="1793"/>
      <c r="H104" s="1769" t="s">
        <v>1499</v>
      </c>
      <c r="I104" s="1924" t="s">
        <v>194</v>
      </c>
      <c r="J104" s="1754" t="s">
        <v>750</v>
      </c>
      <c r="K104" s="1789"/>
      <c r="L104" s="1878" t="s">
        <v>194</v>
      </c>
      <c r="M104" s="1754" t="s">
        <v>764</v>
      </c>
      <c r="N104" s="1771"/>
      <c r="O104" s="1771"/>
      <c r="P104" s="1771"/>
      <c r="Q104" s="1771"/>
      <c r="R104" s="1771"/>
      <c r="S104" s="1771"/>
      <c r="T104" s="1771"/>
      <c r="U104" s="1771"/>
      <c r="V104" s="1771"/>
      <c r="W104" s="1771"/>
      <c r="X104" s="1770"/>
      <c r="Y104" s="1914"/>
      <c r="Z104" s="1913"/>
      <c r="AA104" s="1913"/>
      <c r="AB104" s="1794"/>
      <c r="AC104" s="1914"/>
      <c r="AD104" s="1913"/>
      <c r="AE104" s="1913"/>
      <c r="AF104" s="1794"/>
      <c r="AI104" s="1735" t="str">
        <f>"15:field167:" &amp; IF(I104="■",1,IF(L104="■",2,0))</f>
        <v>15:field167:0</v>
      </c>
    </row>
    <row r="105" spans="1:36" s="1735" customFormat="1" ht="18.75" hidden="1" customHeight="1">
      <c r="A105" s="1766"/>
      <c r="B105" s="1765"/>
      <c r="C105" s="1778"/>
      <c r="D105" s="1761"/>
      <c r="E105" s="1762"/>
      <c r="F105" s="1761"/>
      <c r="G105" s="1793"/>
      <c r="H105" s="1769" t="s">
        <v>1498</v>
      </c>
      <c r="I105" s="1773" t="s">
        <v>194</v>
      </c>
      <c r="J105" s="1754" t="s">
        <v>750</v>
      </c>
      <c r="K105" s="1789"/>
      <c r="L105" s="1772" t="s">
        <v>194</v>
      </c>
      <c r="M105" s="1754" t="s">
        <v>764</v>
      </c>
      <c r="N105" s="1771"/>
      <c r="O105" s="1771"/>
      <c r="P105" s="1771"/>
      <c r="Q105" s="1771"/>
      <c r="R105" s="1771"/>
      <c r="S105" s="1771"/>
      <c r="T105" s="1771"/>
      <c r="U105" s="1771"/>
      <c r="V105" s="1771"/>
      <c r="W105" s="1771"/>
      <c r="X105" s="1770"/>
      <c r="Y105" s="1914"/>
      <c r="Z105" s="1913"/>
      <c r="AA105" s="1913"/>
      <c r="AB105" s="1794"/>
      <c r="AC105" s="1914"/>
      <c r="AD105" s="1913"/>
      <c r="AE105" s="1913"/>
      <c r="AF105" s="1794"/>
      <c r="AI105" s="1735" t="str">
        <f>"15:jyakuninti_uke_code:" &amp; IF(I105="■",1,IF(L105="■",2,0))</f>
        <v>15:jyakuninti_uke_code:0</v>
      </c>
    </row>
    <row r="106" spans="1:36" s="1735" customFormat="1" ht="18.75" hidden="1" customHeight="1">
      <c r="A106" s="1766"/>
      <c r="B106" s="1765"/>
      <c r="C106" s="1778"/>
      <c r="D106" s="1761"/>
      <c r="E106" s="1762"/>
      <c r="F106" s="1761"/>
      <c r="G106" s="1793"/>
      <c r="H106" s="1863" t="s">
        <v>1497</v>
      </c>
      <c r="I106" s="1772" t="s">
        <v>194</v>
      </c>
      <c r="J106" s="1754" t="s">
        <v>750</v>
      </c>
      <c r="K106" s="1789"/>
      <c r="L106" s="1757" t="s">
        <v>194</v>
      </c>
      <c r="M106" s="1754" t="s">
        <v>764</v>
      </c>
      <c r="N106" s="1771"/>
      <c r="O106" s="1771"/>
      <c r="P106" s="1771"/>
      <c r="Q106" s="1771"/>
      <c r="R106" s="1771"/>
      <c r="S106" s="1771"/>
      <c r="T106" s="1771"/>
      <c r="U106" s="1771"/>
      <c r="V106" s="1771"/>
      <c r="W106" s="1771"/>
      <c r="X106" s="1770"/>
      <c r="Y106" s="1914"/>
      <c r="Z106" s="1913"/>
      <c r="AA106" s="1913"/>
      <c r="AB106" s="1794"/>
      <c r="AC106" s="1914"/>
      <c r="AD106" s="1913"/>
      <c r="AE106" s="1913"/>
      <c r="AF106" s="1794"/>
      <c r="AI106" s="1735" t="str">
        <f>"15:eiyomana_code:" &amp; IF(I106="■",1,IF(L106="■",2,0))</f>
        <v>15:eiyomana_code:0</v>
      </c>
    </row>
    <row r="107" spans="1:36" s="1735" customFormat="1" ht="18.75" hidden="1" customHeight="1">
      <c r="A107" s="1766"/>
      <c r="B107" s="1765"/>
      <c r="C107" s="1778"/>
      <c r="D107" s="1761"/>
      <c r="E107" s="1762"/>
      <c r="F107" s="1761"/>
      <c r="G107" s="1793"/>
      <c r="H107" s="1759" t="s">
        <v>1496</v>
      </c>
      <c r="I107" s="1773" t="s">
        <v>194</v>
      </c>
      <c r="J107" s="1754" t="s">
        <v>750</v>
      </c>
      <c r="K107" s="1789"/>
      <c r="L107" s="1757" t="s">
        <v>194</v>
      </c>
      <c r="M107" s="1754" t="s">
        <v>764</v>
      </c>
      <c r="N107" s="1771"/>
      <c r="O107" s="1771"/>
      <c r="P107" s="1771"/>
      <c r="Q107" s="1771"/>
      <c r="R107" s="1771"/>
      <c r="S107" s="1771"/>
      <c r="T107" s="1771"/>
      <c r="U107" s="1771"/>
      <c r="V107" s="1771"/>
      <c r="W107" s="1771"/>
      <c r="X107" s="1770"/>
      <c r="Y107" s="1914"/>
      <c r="Z107" s="1913"/>
      <c r="AA107" s="1913"/>
      <c r="AB107" s="1794"/>
      <c r="AC107" s="1914"/>
      <c r="AD107" s="1913"/>
      <c r="AE107" s="1913"/>
      <c r="AF107" s="1794"/>
      <c r="AI107" s="1735" t="str">
        <f>"15:koukoukino_code:" &amp; IF(I107="■",1,IF(L107="■",2,0))</f>
        <v>15:koukoukino_code:0</v>
      </c>
    </row>
    <row r="108" spans="1:36" s="1735" customFormat="1" ht="18.75" hidden="1" customHeight="1">
      <c r="A108" s="1766"/>
      <c r="B108" s="1765"/>
      <c r="C108" s="1778"/>
      <c r="D108" s="1761"/>
      <c r="E108" s="1762"/>
      <c r="F108" s="1761"/>
      <c r="G108" s="1793"/>
      <c r="H108" s="1759" t="s">
        <v>456</v>
      </c>
      <c r="I108" s="1878" t="s">
        <v>194</v>
      </c>
      <c r="J108" s="1754" t="s">
        <v>750</v>
      </c>
      <c r="K108" s="1789"/>
      <c r="L108" s="1757" t="s">
        <v>194</v>
      </c>
      <c r="M108" s="1754" t="s">
        <v>764</v>
      </c>
      <c r="N108" s="1771"/>
      <c r="O108" s="1771"/>
      <c r="P108" s="1771"/>
      <c r="Q108" s="1771"/>
      <c r="R108" s="1771"/>
      <c r="S108" s="1771"/>
      <c r="T108" s="1771"/>
      <c r="U108" s="1771"/>
      <c r="V108" s="1771"/>
      <c r="W108" s="1771"/>
      <c r="X108" s="1770"/>
      <c r="Y108" s="1914"/>
      <c r="Z108" s="1913"/>
      <c r="AA108" s="1913"/>
      <c r="AB108" s="1794"/>
      <c r="AC108" s="1914"/>
      <c r="AD108" s="1913"/>
      <c r="AE108" s="1913"/>
      <c r="AF108" s="1794"/>
      <c r="AI108" s="1735" t="str">
        <f>"15:field212:" &amp; IF(I108="■",1,IF(L108="■",2,0))</f>
        <v>15:field212:0</v>
      </c>
    </row>
    <row r="109" spans="1:36" s="1735" customFormat="1" ht="18.75" hidden="1" customHeight="1">
      <c r="A109" s="1766"/>
      <c r="B109" s="1765"/>
      <c r="C109" s="1778"/>
      <c r="D109" s="1761"/>
      <c r="E109" s="1762"/>
      <c r="F109" s="1761"/>
      <c r="G109" s="1793"/>
      <c r="H109" s="1769" t="s">
        <v>795</v>
      </c>
      <c r="I109" s="1773" t="s">
        <v>194</v>
      </c>
      <c r="J109" s="1754" t="s">
        <v>750</v>
      </c>
      <c r="K109" s="1754"/>
      <c r="L109" s="1878" t="s">
        <v>194</v>
      </c>
      <c r="M109" s="1754" t="s">
        <v>796</v>
      </c>
      <c r="N109" s="1754"/>
      <c r="O109" s="1878" t="s">
        <v>194</v>
      </c>
      <c r="P109" s="1754" t="s">
        <v>797</v>
      </c>
      <c r="Q109" s="1754"/>
      <c r="R109" s="1878" t="s">
        <v>194</v>
      </c>
      <c r="S109" s="1754" t="s">
        <v>798</v>
      </c>
      <c r="T109" s="1754"/>
      <c r="U109" s="1771"/>
      <c r="V109" s="1771"/>
      <c r="W109" s="1771"/>
      <c r="X109" s="1770"/>
      <c r="Y109" s="1914"/>
      <c r="Z109" s="1913"/>
      <c r="AA109" s="1913"/>
      <c r="AB109" s="1794"/>
      <c r="AC109" s="1914"/>
      <c r="AD109" s="1913"/>
      <c r="AE109" s="1913"/>
      <c r="AF109" s="1794"/>
      <c r="AI109" s="1735" t="str">
        <f>"15:serteikyo_kyoka_code:" &amp; IF(I109="■",1,IF(L109="■",6,IF(O109="■",5,IF(R109="■",7,0))))</f>
        <v>15:serteikyo_kyoka_code:0</v>
      </c>
    </row>
    <row r="110" spans="1:36" s="1735" customFormat="1" ht="18.75" hidden="1" customHeight="1">
      <c r="A110" s="1752"/>
      <c r="B110" s="1751"/>
      <c r="C110" s="1750"/>
      <c r="D110" s="1749"/>
      <c r="E110" s="1748"/>
      <c r="F110" s="1747"/>
      <c r="G110" s="1808"/>
      <c r="H110" s="1909" t="s">
        <v>1553</v>
      </c>
      <c r="I110" s="1744" t="s">
        <v>194</v>
      </c>
      <c r="J110" s="1905" t="s">
        <v>750</v>
      </c>
      <c r="K110" s="1905"/>
      <c r="L110" s="1743" t="s">
        <v>194</v>
      </c>
      <c r="M110" s="1905" t="s">
        <v>1552</v>
      </c>
      <c r="N110" s="1908"/>
      <c r="O110" s="1743" t="s">
        <v>194</v>
      </c>
      <c r="P110" s="1907" t="s">
        <v>1551</v>
      </c>
      <c r="Q110" s="1906"/>
      <c r="R110" s="1743" t="s">
        <v>194</v>
      </c>
      <c r="S110" s="1905" t="s">
        <v>1550</v>
      </c>
      <c r="T110" s="1906"/>
      <c r="U110" s="1743" t="s">
        <v>194</v>
      </c>
      <c r="V110" s="1905" t="s">
        <v>1549</v>
      </c>
      <c r="W110" s="1904"/>
      <c r="X110" s="1903"/>
      <c r="Y110" s="1902"/>
      <c r="Z110" s="1902"/>
      <c r="AA110" s="1902"/>
      <c r="AB110" s="1901"/>
      <c r="AC110" s="1961"/>
      <c r="AD110" s="1902"/>
      <c r="AE110" s="1902"/>
      <c r="AF110" s="1901"/>
      <c r="AI110" s="1735" t="str">
        <f>"15:shoguukaizen_code:"&amp;IF(I110="■",1,IF(L110="■",7,IF(O110="■",8,IF(R110="■",9,IF(U110="■","A",0)))))</f>
        <v>15:shoguukaizen_code:0</v>
      </c>
    </row>
    <row r="111" spans="1:36" s="1735" customFormat="1" ht="18.75" hidden="1" customHeight="1">
      <c r="A111" s="1807"/>
      <c r="B111" s="1806"/>
      <c r="C111" s="1849"/>
      <c r="D111" s="1848"/>
      <c r="E111" s="1804"/>
      <c r="F111" s="1848"/>
      <c r="G111" s="1886"/>
      <c r="H111" s="2045" t="s">
        <v>1717</v>
      </c>
      <c r="I111" s="1873" t="s">
        <v>194</v>
      </c>
      <c r="J111" s="1872" t="s">
        <v>750</v>
      </c>
      <c r="K111" s="1872"/>
      <c r="L111" s="2007"/>
      <c r="M111" s="1931" t="s">
        <v>194</v>
      </c>
      <c r="N111" s="1872" t="s">
        <v>1568</v>
      </c>
      <c r="O111" s="1872"/>
      <c r="P111" s="2007"/>
      <c r="Q111" s="1931" t="s">
        <v>194</v>
      </c>
      <c r="R111" s="1930" t="s">
        <v>1615</v>
      </c>
      <c r="S111" s="1930"/>
      <c r="T111" s="1930"/>
      <c r="U111" s="1931" t="s">
        <v>194</v>
      </c>
      <c r="V111" s="1930" t="s">
        <v>1614</v>
      </c>
      <c r="W111" s="1930"/>
      <c r="X111" s="1886"/>
      <c r="Y111" s="1873" t="s">
        <v>194</v>
      </c>
      <c r="Z111" s="1872" t="s">
        <v>749</v>
      </c>
      <c r="AA111" s="1872"/>
      <c r="AB111" s="1929"/>
      <c r="AC111" s="1959"/>
      <c r="AD111" s="1959"/>
      <c r="AE111" s="1959"/>
      <c r="AF111" s="1959"/>
      <c r="AG111" s="1735" t="str">
        <f>"ser_code = '" &amp; IF(A122="■",16,"") &amp; "'"</f>
        <v>ser_code = ''</v>
      </c>
      <c r="AI111" s="1735" t="str">
        <f>"16:"&amp;IF(AND(I111="□",M111="□",Q111="□",U111="□",I112="□",M112="□",Q112="□"),"ketu_doctor_code:0",IF(I111="■","ketu_doctor_code:1:ketu_kangos_code:1:ketu_kshoku_code:1:ketu_rryoho_code:1:ketu_sryoho_code:1:ketu_gengo_code:1",
IF(M111="■","ketu_doctor_code:2","ketu_doctor_code:1")
&amp;IF(Q111="■",":ketu_kangos_code:2",":ketu_kangos_code:1")
&amp;IF(U111="■",":ketu_kshoku_code:2",":ketu_kshoku_code:1")
&amp;IF(I112="■",":ketu_rryoho_code:2",":ketu_rryoho_code:1")
&amp;IF(M112="■",":ketu_sryoho_code:2",":ketu_sryoho_code:1")
&amp;IF(Q112="■",":ketu_gengo_code:2",":ketu_gengo_code:1")))</f>
        <v>16:ketu_doctor_code:0</v>
      </c>
      <c r="AJ111" s="1735" t="str">
        <f>"16:field203:" &amp; IF(Y111="■",1,IF(Y112="■",2,0))</f>
        <v>16:field203:0</v>
      </c>
    </row>
    <row r="112" spans="1:36" s="1735" customFormat="1" ht="18.75" hidden="1" customHeight="1">
      <c r="A112" s="1766"/>
      <c r="B112" s="1765"/>
      <c r="C112" s="1764"/>
      <c r="D112" s="1763"/>
      <c r="E112" s="1762"/>
      <c r="F112" s="1763"/>
      <c r="G112" s="1957"/>
      <c r="H112" s="2044"/>
      <c r="I112" s="1878" t="s">
        <v>194</v>
      </c>
      <c r="J112" s="1756" t="s">
        <v>1613</v>
      </c>
      <c r="K112" s="1780"/>
      <c r="L112" s="1780"/>
      <c r="M112" s="1878" t="s">
        <v>194</v>
      </c>
      <c r="N112" s="1756" t="s">
        <v>1612</v>
      </c>
      <c r="O112" s="1780"/>
      <c r="P112" s="1780"/>
      <c r="Q112" s="1878" t="s">
        <v>194</v>
      </c>
      <c r="R112" s="1756" t="s">
        <v>1716</v>
      </c>
      <c r="S112" s="1780"/>
      <c r="T112" s="1780"/>
      <c r="U112" s="1780"/>
      <c r="V112" s="1780"/>
      <c r="W112" s="1780"/>
      <c r="X112" s="1779"/>
      <c r="Y112" s="1878" t="s">
        <v>194</v>
      </c>
      <c r="Z112" s="1738" t="s">
        <v>754</v>
      </c>
      <c r="AA112" s="1913"/>
      <c r="AB112" s="1794"/>
      <c r="AC112" s="1970"/>
      <c r="AD112" s="1970"/>
      <c r="AE112" s="1970"/>
      <c r="AF112" s="1970"/>
      <c r="AG112" s="1735" t="str">
        <f>"16:sisetukbn_code:" &amp; IF(D118="■",4,IF(D119="■",7,IF(D120="■","A",IF(D121="■","D",IF(D122="■","E",IF(D123="■","F",IF(D124="■","G",IF(D125="■","H",IF(D126="■","J",0)))))))))</f>
        <v>16:sisetukbn_code:0</v>
      </c>
    </row>
    <row r="113" spans="1:35" s="1735" customFormat="1" ht="19.5" hidden="1" customHeight="1">
      <c r="A113" s="1766"/>
      <c r="B113" s="1765"/>
      <c r="C113" s="1764"/>
      <c r="D113" s="1763"/>
      <c r="E113" s="1762"/>
      <c r="F113" s="1761"/>
      <c r="G113" s="1793"/>
      <c r="H113" s="1792" t="s">
        <v>760</v>
      </c>
      <c r="I113" s="1773" t="s">
        <v>194</v>
      </c>
      <c r="J113" s="1754" t="s">
        <v>758</v>
      </c>
      <c r="K113" s="1789"/>
      <c r="L113" s="1791"/>
      <c r="M113" s="1772" t="s">
        <v>194</v>
      </c>
      <c r="N113" s="1754" t="s">
        <v>761</v>
      </c>
      <c r="O113" s="1920"/>
      <c r="P113" s="1754"/>
      <c r="Q113" s="1768"/>
      <c r="R113" s="1768"/>
      <c r="S113" s="1768"/>
      <c r="T113" s="1768"/>
      <c r="U113" s="1768"/>
      <c r="V113" s="1768"/>
      <c r="W113" s="1768"/>
      <c r="X113" s="1767"/>
      <c r="Y113" s="1913"/>
      <c r="Z113" s="1913"/>
      <c r="AA113" s="1913"/>
      <c r="AB113" s="1794"/>
      <c r="AC113" s="1970"/>
      <c r="AD113" s="1970"/>
      <c r="AE113" s="1970"/>
      <c r="AF113" s="1970"/>
      <c r="AI113" s="1735" t="str">
        <f>"16:field223:" &amp; IF(I113="■",1,IF(M113="■",2,0))</f>
        <v>16:field223:0</v>
      </c>
    </row>
    <row r="114" spans="1:35" s="1735" customFormat="1" ht="19.5" hidden="1" customHeight="1">
      <c r="A114" s="1766"/>
      <c r="B114" s="1765"/>
      <c r="C114" s="1764"/>
      <c r="D114" s="1763"/>
      <c r="E114" s="1762"/>
      <c r="F114" s="1761"/>
      <c r="G114" s="1793"/>
      <c r="H114" s="1792" t="s">
        <v>762</v>
      </c>
      <c r="I114" s="1773" t="s">
        <v>194</v>
      </c>
      <c r="J114" s="1754" t="s">
        <v>758</v>
      </c>
      <c r="K114" s="1789"/>
      <c r="L114" s="1791"/>
      <c r="M114" s="1772" t="s">
        <v>194</v>
      </c>
      <c r="N114" s="1754" t="s">
        <v>761</v>
      </c>
      <c r="O114" s="1920"/>
      <c r="P114" s="1754"/>
      <c r="Q114" s="1768"/>
      <c r="R114" s="1768"/>
      <c r="S114" s="1768"/>
      <c r="T114" s="1768"/>
      <c r="U114" s="1768"/>
      <c r="V114" s="1768"/>
      <c r="W114" s="1768"/>
      <c r="X114" s="1767"/>
      <c r="Y114" s="1913"/>
      <c r="Z114" s="1913"/>
      <c r="AA114" s="1913"/>
      <c r="AB114" s="1794"/>
      <c r="AC114" s="1970"/>
      <c r="AD114" s="1970"/>
      <c r="AE114" s="1970"/>
      <c r="AF114" s="1970"/>
      <c r="AI114" s="1735" t="str">
        <f>"16:field232:" &amp; IF(I114="■",1,IF(M114="■",2,0))</f>
        <v>16:field232:0</v>
      </c>
    </row>
    <row r="115" spans="1:35" s="1735" customFormat="1" ht="18.75" hidden="1" customHeight="1">
      <c r="A115" s="1766"/>
      <c r="B115" s="1765"/>
      <c r="C115" s="1764"/>
      <c r="D115" s="1763"/>
      <c r="E115" s="1762"/>
      <c r="F115" s="1763"/>
      <c r="G115" s="1957"/>
      <c r="H115" s="2043" t="s">
        <v>1771</v>
      </c>
      <c r="I115" s="1868" t="s">
        <v>194</v>
      </c>
      <c r="J115" s="1830" t="s">
        <v>750</v>
      </c>
      <c r="K115" s="1830"/>
      <c r="L115" s="1919" t="s">
        <v>194</v>
      </c>
      <c r="M115" s="1830" t="s">
        <v>764</v>
      </c>
      <c r="N115" s="1830"/>
      <c r="O115" s="1785"/>
      <c r="P115" s="1785"/>
      <c r="Q115" s="1785"/>
      <c r="R115" s="1785"/>
      <c r="S115" s="1785"/>
      <c r="T115" s="1785"/>
      <c r="U115" s="1785"/>
      <c r="V115" s="1785"/>
      <c r="W115" s="1785"/>
      <c r="X115" s="1784"/>
      <c r="Y115" s="1914"/>
      <c r="Z115" s="1913"/>
      <c r="AA115" s="1913"/>
      <c r="AB115" s="1794"/>
      <c r="AC115" s="1954"/>
      <c r="AD115" s="1954"/>
      <c r="AE115" s="1954"/>
      <c r="AF115" s="1954"/>
      <c r="AI115" s="1735" t="str">
        <f>"16:field204:" &amp; IF(I115="■",1,IF(L115="■",2,0))</f>
        <v>16:field204:0</v>
      </c>
    </row>
    <row r="116" spans="1:35" s="1735" customFormat="1" ht="18.75" hidden="1" customHeight="1">
      <c r="A116" s="1766"/>
      <c r="B116" s="1765"/>
      <c r="C116" s="1764"/>
      <c r="D116" s="1763"/>
      <c r="E116" s="1762"/>
      <c r="F116" s="1763"/>
      <c r="G116" s="1957"/>
      <c r="H116" s="2043"/>
      <c r="I116" s="1821"/>
      <c r="J116" s="1786"/>
      <c r="K116" s="1786"/>
      <c r="L116" s="1820"/>
      <c r="M116" s="1786"/>
      <c r="N116" s="1786"/>
      <c r="O116" s="1734"/>
      <c r="P116" s="1734"/>
      <c r="Q116" s="1734"/>
      <c r="R116" s="1734"/>
      <c r="S116" s="1734"/>
      <c r="T116" s="1734"/>
      <c r="U116" s="1734"/>
      <c r="V116" s="1734"/>
      <c r="W116" s="1734"/>
      <c r="X116" s="1957"/>
      <c r="Y116" s="1914"/>
      <c r="Z116" s="1913"/>
      <c r="AA116" s="1913"/>
      <c r="AB116" s="1794"/>
      <c r="AC116" s="1954"/>
      <c r="AD116" s="1954"/>
      <c r="AE116" s="1954"/>
      <c r="AF116" s="1954"/>
    </row>
    <row r="117" spans="1:35" s="1735" customFormat="1" ht="18.75" hidden="1" customHeight="1">
      <c r="A117" s="1766"/>
      <c r="B117" s="1765"/>
      <c r="C117" s="1764"/>
      <c r="D117" s="1763"/>
      <c r="E117" s="1762"/>
      <c r="F117" s="1763"/>
      <c r="G117" s="1957"/>
      <c r="H117" s="2043"/>
      <c r="I117" s="1819"/>
      <c r="J117" s="1781"/>
      <c r="K117" s="1781"/>
      <c r="L117" s="1818"/>
      <c r="M117" s="1781"/>
      <c r="N117" s="1781"/>
      <c r="O117" s="1780"/>
      <c r="P117" s="1780"/>
      <c r="Q117" s="1780"/>
      <c r="R117" s="1780"/>
      <c r="S117" s="1780"/>
      <c r="T117" s="1780"/>
      <c r="U117" s="1780"/>
      <c r="V117" s="1780"/>
      <c r="W117" s="1780"/>
      <c r="X117" s="1779"/>
      <c r="Y117" s="1914"/>
      <c r="Z117" s="1913"/>
      <c r="AA117" s="1913"/>
      <c r="AB117" s="1794"/>
      <c r="AC117" s="1954"/>
      <c r="AD117" s="1954"/>
      <c r="AE117" s="1954"/>
      <c r="AF117" s="1954"/>
    </row>
    <row r="118" spans="1:35" s="1735" customFormat="1" ht="18.75" hidden="1" customHeight="1">
      <c r="A118" s="1766"/>
      <c r="B118" s="1765"/>
      <c r="C118" s="1764"/>
      <c r="D118" s="1878" t="s">
        <v>194</v>
      </c>
      <c r="E118" s="1762" t="s">
        <v>1770</v>
      </c>
      <c r="F118" s="1763"/>
      <c r="G118" s="1957"/>
      <c r="H118" s="1769" t="s">
        <v>1769</v>
      </c>
      <c r="I118" s="1773" t="s">
        <v>194</v>
      </c>
      <c r="J118" s="1754" t="s">
        <v>755</v>
      </c>
      <c r="K118" s="1789"/>
      <c r="L118" s="1791"/>
      <c r="M118" s="1772" t="s">
        <v>194</v>
      </c>
      <c r="N118" s="1754" t="s">
        <v>756</v>
      </c>
      <c r="O118" s="1768"/>
      <c r="P118" s="1768"/>
      <c r="Q118" s="1768"/>
      <c r="R118" s="1768"/>
      <c r="S118" s="1768"/>
      <c r="T118" s="1768"/>
      <c r="U118" s="1768"/>
      <c r="V118" s="1768"/>
      <c r="W118" s="1768"/>
      <c r="X118" s="1767"/>
      <c r="Y118" s="1914"/>
      <c r="Z118" s="1913"/>
      <c r="AA118" s="1913"/>
      <c r="AB118" s="1794"/>
      <c r="AC118" s="1954"/>
      <c r="AD118" s="1954"/>
      <c r="AE118" s="1954"/>
      <c r="AF118" s="1954"/>
      <c r="AI118" s="1735" t="str">
        <f>"16:timeser_code:" &amp; IF(I118="■",1,IF(M118="■",2,0))</f>
        <v>16:timeser_code:0</v>
      </c>
    </row>
    <row r="119" spans="1:35" s="1735" customFormat="1" ht="18.75" hidden="1" customHeight="1">
      <c r="A119" s="1766"/>
      <c r="B119" s="1765"/>
      <c r="C119" s="1764"/>
      <c r="D119" s="1878" t="s">
        <v>194</v>
      </c>
      <c r="E119" s="1762" t="s">
        <v>1768</v>
      </c>
      <c r="F119" s="1763"/>
      <c r="G119" s="1957"/>
      <c r="H119" s="1955" t="s">
        <v>1767</v>
      </c>
      <c r="I119" s="1773" t="s">
        <v>194</v>
      </c>
      <c r="J119" s="1754" t="s">
        <v>750</v>
      </c>
      <c r="K119" s="1789"/>
      <c r="L119" s="1772" t="s">
        <v>194</v>
      </c>
      <c r="M119" s="1754" t="s">
        <v>764</v>
      </c>
      <c r="N119" s="1771"/>
      <c r="O119" s="1771"/>
      <c r="P119" s="1771"/>
      <c r="Q119" s="1771"/>
      <c r="R119" s="1771"/>
      <c r="S119" s="1771"/>
      <c r="T119" s="1771"/>
      <c r="U119" s="1771"/>
      <c r="V119" s="1771"/>
      <c r="W119" s="1771"/>
      <c r="X119" s="1770"/>
      <c r="Y119" s="1914"/>
      <c r="Z119" s="1913"/>
      <c r="AA119" s="1913"/>
      <c r="AB119" s="1794"/>
      <c r="AC119" s="1954"/>
      <c r="AD119" s="1954"/>
      <c r="AE119" s="1954"/>
      <c r="AF119" s="1954"/>
      <c r="AI119" s="1735" t="str">
        <f>"16:field188:" &amp; IF(I119="■",1,IF(L119="■",2,0))</f>
        <v>16:field188:0</v>
      </c>
    </row>
    <row r="120" spans="1:35" s="1735" customFormat="1" ht="18.75" hidden="1" customHeight="1">
      <c r="A120" s="1766"/>
      <c r="B120" s="1765"/>
      <c r="C120" s="1764"/>
      <c r="D120" s="1878" t="s">
        <v>194</v>
      </c>
      <c r="E120" s="1762" t="s">
        <v>1766</v>
      </c>
      <c r="F120" s="1763"/>
      <c r="G120" s="1957"/>
      <c r="H120" s="1759" t="s">
        <v>1505</v>
      </c>
      <c r="I120" s="1773" t="s">
        <v>194</v>
      </c>
      <c r="J120" s="1754" t="s">
        <v>750</v>
      </c>
      <c r="K120" s="1754"/>
      <c r="L120" s="1772" t="s">
        <v>194</v>
      </c>
      <c r="M120" s="1754" t="s">
        <v>784</v>
      </c>
      <c r="N120" s="1754"/>
      <c r="O120" s="1772" t="s">
        <v>194</v>
      </c>
      <c r="P120" s="1754" t="s">
        <v>785</v>
      </c>
      <c r="Q120" s="1771"/>
      <c r="R120" s="1771"/>
      <c r="S120" s="1771"/>
      <c r="T120" s="1771"/>
      <c r="U120" s="1771"/>
      <c r="V120" s="1771"/>
      <c r="W120" s="1771"/>
      <c r="X120" s="1770"/>
      <c r="Y120" s="1914"/>
      <c r="Z120" s="1913"/>
      <c r="AA120" s="1913"/>
      <c r="AB120" s="1794"/>
      <c r="AC120" s="1954"/>
      <c r="AD120" s="1954"/>
      <c r="AE120" s="1954"/>
      <c r="AF120" s="1954"/>
      <c r="AI120" s="1735" t="str">
        <f>"16:nyukai_code:" &amp; IF(I120="■",1,IF(O120="■",3,IF(L120="■",2,0)))</f>
        <v>16:nyukai_code:0</v>
      </c>
    </row>
    <row r="121" spans="1:35" s="1735" customFormat="1" ht="18.75" hidden="1" customHeight="1">
      <c r="A121" s="1766"/>
      <c r="B121" s="1765"/>
      <c r="C121" s="1764"/>
      <c r="D121" s="1878" t="s">
        <v>194</v>
      </c>
      <c r="E121" s="1762" t="s">
        <v>1765</v>
      </c>
      <c r="F121" s="1763"/>
      <c r="G121" s="1957"/>
      <c r="H121" s="2042" t="s">
        <v>1520</v>
      </c>
      <c r="I121" s="2041" t="s">
        <v>194</v>
      </c>
      <c r="J121" s="2040" t="s">
        <v>750</v>
      </c>
      <c r="K121" s="2040"/>
      <c r="L121" s="2039"/>
      <c r="M121" s="2038" t="s">
        <v>194</v>
      </c>
      <c r="N121" s="2040" t="s">
        <v>1519</v>
      </c>
      <c r="O121" s="2040"/>
      <c r="P121" s="2039"/>
      <c r="Q121" s="2038" t="s">
        <v>194</v>
      </c>
      <c r="R121" s="2037" t="s">
        <v>1518</v>
      </c>
      <c r="S121" s="2037"/>
      <c r="T121" s="2037"/>
      <c r="U121" s="2038" t="s">
        <v>194</v>
      </c>
      <c r="V121" s="2037" t="s">
        <v>1764</v>
      </c>
      <c r="W121" s="2037"/>
      <c r="X121" s="2036"/>
      <c r="Y121" s="1914"/>
      <c r="Z121" s="1913"/>
      <c r="AA121" s="1913"/>
      <c r="AB121" s="1794"/>
      <c r="AC121" s="1954"/>
      <c r="AD121" s="1954"/>
      <c r="AE121" s="1954"/>
      <c r="AF121" s="1954"/>
      <c r="AI121" s="1735" t="str">
        <f>"16:field149:" &amp; IF(I121="■",1,IF(U121="■",8,IF(Q121="■",6,IF(M121="■",3,0))))</f>
        <v>16:field149:0</v>
      </c>
    </row>
    <row r="122" spans="1:35" s="1735" customFormat="1" ht="19.5" hidden="1" customHeight="1">
      <c r="A122" s="1776" t="s">
        <v>194</v>
      </c>
      <c r="B122" s="1765">
        <v>16</v>
      </c>
      <c r="C122" s="1764" t="s">
        <v>1763</v>
      </c>
      <c r="D122" s="1878" t="s">
        <v>194</v>
      </c>
      <c r="E122" s="1762" t="s">
        <v>1762</v>
      </c>
      <c r="F122" s="1761"/>
      <c r="G122" s="1793"/>
      <c r="H122" s="1822" t="s">
        <v>1517</v>
      </c>
      <c r="I122" s="1821" t="s">
        <v>194</v>
      </c>
      <c r="J122" s="1786" t="s">
        <v>750</v>
      </c>
      <c r="K122" s="1786"/>
      <c r="L122" s="1820" t="s">
        <v>194</v>
      </c>
      <c r="M122" s="1786" t="s">
        <v>764</v>
      </c>
      <c r="N122" s="1786"/>
      <c r="O122" s="1738"/>
      <c r="P122" s="1817"/>
      <c r="Q122" s="1817"/>
      <c r="R122" s="1817"/>
      <c r="S122" s="1734"/>
      <c r="T122" s="1734"/>
      <c r="U122" s="1817"/>
      <c r="V122" s="1817"/>
      <c r="W122" s="1734"/>
      <c r="X122" s="1957"/>
      <c r="Y122" s="1914"/>
      <c r="Z122" s="1913"/>
      <c r="AA122" s="1913"/>
      <c r="AB122" s="1794"/>
      <c r="AC122" s="1954"/>
      <c r="AD122" s="1954"/>
      <c r="AE122" s="1954"/>
      <c r="AF122" s="1954"/>
      <c r="AI122" s="1735" t="str">
        <f>"16:field239:" &amp; IF(I122="■",1,IF(L122="■",2,0))</f>
        <v>16:field239:0</v>
      </c>
    </row>
    <row r="123" spans="1:35" s="1735" customFormat="1" ht="19.5" hidden="1" customHeight="1">
      <c r="A123" s="1766"/>
      <c r="B123" s="1765"/>
      <c r="C123" s="1764"/>
      <c r="D123" s="1878" t="s">
        <v>194</v>
      </c>
      <c r="E123" s="1762" t="s">
        <v>1761</v>
      </c>
      <c r="F123" s="1761"/>
      <c r="G123" s="1793"/>
      <c r="H123" s="1783"/>
      <c r="I123" s="1819"/>
      <c r="J123" s="1781"/>
      <c r="K123" s="1781"/>
      <c r="L123" s="1818"/>
      <c r="M123" s="1781"/>
      <c r="N123" s="1781"/>
      <c r="O123" s="1738"/>
      <c r="P123" s="1817"/>
      <c r="Q123" s="1780"/>
      <c r="R123" s="1780"/>
      <c r="S123" s="1734"/>
      <c r="T123" s="1734"/>
      <c r="U123" s="1815"/>
      <c r="V123" s="1780"/>
      <c r="W123" s="1734"/>
      <c r="X123" s="1957"/>
      <c r="Y123" s="1914"/>
      <c r="Z123" s="1913"/>
      <c r="AA123" s="1913"/>
      <c r="AB123" s="1794"/>
      <c r="AC123" s="1954"/>
      <c r="AD123" s="1954"/>
      <c r="AE123" s="1954"/>
      <c r="AF123" s="1954"/>
    </row>
    <row r="124" spans="1:35" s="1735" customFormat="1" ht="18.75" hidden="1" customHeight="1">
      <c r="A124" s="1766"/>
      <c r="B124" s="1765"/>
      <c r="C124" s="1764"/>
      <c r="D124" s="1878" t="s">
        <v>194</v>
      </c>
      <c r="E124" s="1762" t="s">
        <v>1760</v>
      </c>
      <c r="F124" s="1763"/>
      <c r="G124" s="1957"/>
      <c r="H124" s="1759" t="s">
        <v>1627</v>
      </c>
      <c r="I124" s="1772" t="s">
        <v>194</v>
      </c>
      <c r="J124" s="1754" t="s">
        <v>750</v>
      </c>
      <c r="K124" s="1754"/>
      <c r="L124" s="1772" t="s">
        <v>194</v>
      </c>
      <c r="M124" s="1754" t="s">
        <v>784</v>
      </c>
      <c r="N124" s="1754"/>
      <c r="O124" s="1772" t="s">
        <v>194</v>
      </c>
      <c r="P124" s="1754" t="s">
        <v>785</v>
      </c>
      <c r="Q124" s="1771"/>
      <c r="R124" s="1771"/>
      <c r="S124" s="1771"/>
      <c r="T124" s="1771"/>
      <c r="U124" s="1771"/>
      <c r="V124" s="1771"/>
      <c r="W124" s="1771"/>
      <c r="X124" s="1770"/>
      <c r="Y124" s="1914"/>
      <c r="Z124" s="1913"/>
      <c r="AA124" s="1913"/>
      <c r="AB124" s="1794"/>
      <c r="AC124" s="1954"/>
      <c r="AD124" s="1954"/>
      <c r="AE124" s="1954"/>
      <c r="AF124" s="1954"/>
      <c r="AI124" s="1735" t="str">
        <f>"16:ninti_riha_code:" &amp; IF(I124="■",1,IF(L124="■",2,IF(O124="■",3,0)))</f>
        <v>16:ninti_riha_code:0</v>
      </c>
    </row>
    <row r="125" spans="1:35" s="1735" customFormat="1" ht="18.75" hidden="1" customHeight="1">
      <c r="A125" s="1766"/>
      <c r="B125" s="1765"/>
      <c r="C125" s="1764"/>
      <c r="D125" s="1878" t="s">
        <v>194</v>
      </c>
      <c r="E125" s="1762" t="s">
        <v>1759</v>
      </c>
      <c r="F125" s="1763"/>
      <c r="G125" s="1957"/>
      <c r="H125" s="1759" t="s">
        <v>1758</v>
      </c>
      <c r="I125" s="1773" t="s">
        <v>194</v>
      </c>
      <c r="J125" s="1754" t="s">
        <v>750</v>
      </c>
      <c r="K125" s="1789"/>
      <c r="L125" s="1772" t="s">
        <v>194</v>
      </c>
      <c r="M125" s="1754" t="s">
        <v>764</v>
      </c>
      <c r="N125" s="1771"/>
      <c r="O125" s="1771"/>
      <c r="P125" s="1771"/>
      <c r="Q125" s="1771"/>
      <c r="R125" s="1771"/>
      <c r="S125" s="1771"/>
      <c r="T125" s="1771"/>
      <c r="U125" s="1771"/>
      <c r="V125" s="1771"/>
      <c r="W125" s="1771"/>
      <c r="X125" s="1770"/>
      <c r="Y125" s="1914"/>
      <c r="Z125" s="1913"/>
      <c r="AA125" s="1913"/>
      <c r="AB125" s="1794"/>
      <c r="AC125" s="1954"/>
      <c r="AD125" s="1954"/>
      <c r="AE125" s="1954"/>
      <c r="AF125" s="1954"/>
      <c r="AI125" s="1735" t="str">
        <f>"16:field157:" &amp; IF(I125="■",1,IF(L125="■",2,0))</f>
        <v>16:field157:0</v>
      </c>
    </row>
    <row r="126" spans="1:35" s="1735" customFormat="1" ht="18.75" hidden="1" customHeight="1">
      <c r="A126" s="1766"/>
      <c r="B126" s="1765"/>
      <c r="C126" s="1764"/>
      <c r="D126" s="1878" t="s">
        <v>194</v>
      </c>
      <c r="E126" s="1762" t="s">
        <v>1757</v>
      </c>
      <c r="F126" s="1763"/>
      <c r="G126" s="1957"/>
      <c r="H126" s="1769" t="s">
        <v>1498</v>
      </c>
      <c r="I126" s="1772" t="s">
        <v>194</v>
      </c>
      <c r="J126" s="1754" t="s">
        <v>750</v>
      </c>
      <c r="K126" s="1789"/>
      <c r="L126" s="1772" t="s">
        <v>194</v>
      </c>
      <c r="M126" s="1754" t="s">
        <v>764</v>
      </c>
      <c r="N126" s="1771"/>
      <c r="O126" s="1771"/>
      <c r="P126" s="1771"/>
      <c r="Q126" s="1771"/>
      <c r="R126" s="1771"/>
      <c r="S126" s="1771"/>
      <c r="T126" s="1771"/>
      <c r="U126" s="1771"/>
      <c r="V126" s="1771"/>
      <c r="W126" s="1771"/>
      <c r="X126" s="1770"/>
      <c r="Y126" s="1914"/>
      <c r="Z126" s="1913"/>
      <c r="AA126" s="1913"/>
      <c r="AB126" s="1794"/>
      <c r="AC126" s="1954"/>
      <c r="AD126" s="1954"/>
      <c r="AE126" s="1954"/>
      <c r="AF126" s="1954"/>
      <c r="AI126" s="1735" t="str">
        <f>"16:jyakuninti_uke_code:" &amp; IF(I126="■",1,IF(L126="■",2,0))</f>
        <v>16:jyakuninti_uke_code:0</v>
      </c>
    </row>
    <row r="127" spans="1:35" s="1735" customFormat="1" ht="18.75" hidden="1" customHeight="1">
      <c r="A127" s="1766"/>
      <c r="B127" s="1765"/>
      <c r="C127" s="1764"/>
      <c r="D127" s="1763"/>
      <c r="E127" s="1762"/>
      <c r="F127" s="1763"/>
      <c r="G127" s="1957"/>
      <c r="H127" s="2035" t="s">
        <v>1497</v>
      </c>
      <c r="I127" s="1772" t="s">
        <v>194</v>
      </c>
      <c r="J127" s="1754" t="s">
        <v>750</v>
      </c>
      <c r="K127" s="1789"/>
      <c r="L127" s="1772" t="s">
        <v>194</v>
      </c>
      <c r="M127" s="1754" t="s">
        <v>764</v>
      </c>
      <c r="N127" s="1771"/>
      <c r="O127" s="1771"/>
      <c r="P127" s="1771"/>
      <c r="Q127" s="1771"/>
      <c r="R127" s="1771"/>
      <c r="S127" s="1771"/>
      <c r="T127" s="1771"/>
      <c r="U127" s="1771"/>
      <c r="V127" s="1771"/>
      <c r="W127" s="1771"/>
      <c r="X127" s="1770"/>
      <c r="Y127" s="1914"/>
      <c r="Z127" s="1913"/>
      <c r="AA127" s="1913"/>
      <c r="AB127" s="1794"/>
      <c r="AC127" s="1954"/>
      <c r="AD127" s="1954"/>
      <c r="AE127" s="1954"/>
      <c r="AF127" s="1954"/>
      <c r="AI127" s="1735" t="str">
        <f>"16:eiyomana_code:" &amp; IF(I127="■",1,IF(L127="■",2,0))</f>
        <v>16:eiyomana_code:0</v>
      </c>
    </row>
    <row r="128" spans="1:35" s="1735" customFormat="1" ht="18.75" hidden="1" customHeight="1">
      <c r="A128" s="1766"/>
      <c r="B128" s="1765"/>
      <c r="C128" s="1764"/>
      <c r="D128" s="1763"/>
      <c r="E128" s="1762"/>
      <c r="F128" s="1763"/>
      <c r="G128" s="1957"/>
      <c r="H128" s="1759" t="s">
        <v>1496</v>
      </c>
      <c r="I128" s="1772" t="s">
        <v>194</v>
      </c>
      <c r="J128" s="1754" t="s">
        <v>750</v>
      </c>
      <c r="K128" s="1789"/>
      <c r="L128" s="1772" t="s">
        <v>194</v>
      </c>
      <c r="M128" s="1754" t="s">
        <v>764</v>
      </c>
      <c r="N128" s="1771"/>
      <c r="O128" s="1771"/>
      <c r="P128" s="1771"/>
      <c r="Q128" s="1771"/>
      <c r="R128" s="1771"/>
      <c r="S128" s="1771"/>
      <c r="T128" s="1771"/>
      <c r="U128" s="1771"/>
      <c r="V128" s="1771"/>
      <c r="W128" s="1771"/>
      <c r="X128" s="1770"/>
      <c r="Y128" s="1914"/>
      <c r="Z128" s="1913"/>
      <c r="AA128" s="1913"/>
      <c r="AB128" s="1794"/>
      <c r="AC128" s="1954"/>
      <c r="AD128" s="1954"/>
      <c r="AE128" s="1954"/>
      <c r="AF128" s="1954"/>
      <c r="AI128" s="1735" t="str">
        <f>"16:koukoukino_code:" &amp; IF(I128="■",1,IF(L128="■",2,0))</f>
        <v>16:koukoukino_code:0</v>
      </c>
    </row>
    <row r="129" spans="1:37" s="1735" customFormat="1" ht="18.75" hidden="1" customHeight="1">
      <c r="A129" s="1766"/>
      <c r="B129" s="1765"/>
      <c r="C129" s="1764"/>
      <c r="D129" s="1763"/>
      <c r="E129" s="1762"/>
      <c r="F129" s="1763"/>
      <c r="G129" s="1957"/>
      <c r="H129" s="1769" t="s">
        <v>1756</v>
      </c>
      <c r="I129" s="1772" t="s">
        <v>194</v>
      </c>
      <c r="J129" s="1754" t="s">
        <v>750</v>
      </c>
      <c r="K129" s="1789"/>
      <c r="L129" s="1772" t="s">
        <v>194</v>
      </c>
      <c r="M129" s="1754" t="s">
        <v>764</v>
      </c>
      <c r="N129" s="1771"/>
      <c r="O129" s="1771"/>
      <c r="P129" s="1771"/>
      <c r="Q129" s="1771"/>
      <c r="R129" s="1771"/>
      <c r="S129" s="1771"/>
      <c r="T129" s="1771"/>
      <c r="U129" s="1771"/>
      <c r="V129" s="1771"/>
      <c r="W129" s="1771"/>
      <c r="X129" s="1770"/>
      <c r="Y129" s="1914"/>
      <c r="Z129" s="1913"/>
      <c r="AA129" s="1913"/>
      <c r="AB129" s="1794"/>
      <c r="AC129" s="1954"/>
      <c r="AD129" s="1954"/>
      <c r="AE129" s="1954"/>
      <c r="AF129" s="1954"/>
      <c r="AI129" s="1735" t="str">
        <f>"16:field153:" &amp; IF(I129="■",1,IF(L129="■",2,0))</f>
        <v>16:field153:0</v>
      </c>
    </row>
    <row r="130" spans="1:37" s="1735" customFormat="1" ht="18.75" hidden="1" customHeight="1">
      <c r="A130" s="1766"/>
      <c r="B130" s="1765"/>
      <c r="C130" s="1764"/>
      <c r="D130" s="1763"/>
      <c r="E130" s="1762"/>
      <c r="F130" s="1763"/>
      <c r="G130" s="1957"/>
      <c r="H130" s="1759" t="s">
        <v>456</v>
      </c>
      <c r="I130" s="1772" t="s">
        <v>194</v>
      </c>
      <c r="J130" s="1754" t="s">
        <v>750</v>
      </c>
      <c r="K130" s="1789"/>
      <c r="L130" s="1772" t="s">
        <v>194</v>
      </c>
      <c r="M130" s="1754" t="s">
        <v>764</v>
      </c>
      <c r="N130" s="1771"/>
      <c r="O130" s="1771"/>
      <c r="P130" s="1771"/>
      <c r="Q130" s="1771"/>
      <c r="R130" s="1771"/>
      <c r="S130" s="1771"/>
      <c r="T130" s="1771"/>
      <c r="U130" s="1771"/>
      <c r="V130" s="1771"/>
      <c r="W130" s="1771"/>
      <c r="X130" s="1770"/>
      <c r="Y130" s="1914"/>
      <c r="Z130" s="1913"/>
      <c r="AA130" s="1913"/>
      <c r="AB130" s="1794"/>
      <c r="AC130" s="1954"/>
      <c r="AD130" s="1954"/>
      <c r="AE130" s="1954"/>
      <c r="AF130" s="1954"/>
      <c r="AI130" s="1735" t="str">
        <f>"16:field212:" &amp; IF(I130="■",1,IF(L130="■",2,0))</f>
        <v>16:field212:0</v>
      </c>
    </row>
    <row r="131" spans="1:37" s="1735" customFormat="1" ht="18.75" hidden="1" customHeight="1">
      <c r="A131" s="1766"/>
      <c r="B131" s="1765"/>
      <c r="C131" s="1764"/>
      <c r="D131" s="1763"/>
      <c r="E131" s="1762"/>
      <c r="F131" s="1763"/>
      <c r="G131" s="1957"/>
      <c r="H131" s="1759" t="s">
        <v>1755</v>
      </c>
      <c r="I131" s="1772" t="s">
        <v>194</v>
      </c>
      <c r="J131" s="1754" t="s">
        <v>750</v>
      </c>
      <c r="K131" s="1789"/>
      <c r="L131" s="1772" t="s">
        <v>194</v>
      </c>
      <c r="M131" s="1754" t="s">
        <v>764</v>
      </c>
      <c r="N131" s="1771"/>
      <c r="O131" s="1771"/>
      <c r="P131" s="1771"/>
      <c r="Q131" s="1771"/>
      <c r="R131" s="1771"/>
      <c r="S131" s="1771"/>
      <c r="T131" s="1771"/>
      <c r="U131" s="1771"/>
      <c r="V131" s="1771"/>
      <c r="W131" s="1771"/>
      <c r="X131" s="1770"/>
      <c r="Y131" s="1914"/>
      <c r="Z131" s="1913"/>
      <c r="AA131" s="1913"/>
      <c r="AB131" s="1794"/>
      <c r="AC131" s="1954"/>
      <c r="AD131" s="1954"/>
      <c r="AE131" s="1954"/>
      <c r="AF131" s="1954"/>
      <c r="AI131" s="1735" t="str">
        <f>"16:field150:" &amp; IF(I131="■",1,IF(L131="■",2,0))</f>
        <v>16:field150:0</v>
      </c>
    </row>
    <row r="132" spans="1:37" s="1735" customFormat="1" ht="18.75" hidden="1" customHeight="1">
      <c r="A132" s="1766"/>
      <c r="B132" s="1765"/>
      <c r="C132" s="1764"/>
      <c r="D132" s="1763"/>
      <c r="E132" s="1762"/>
      <c r="F132" s="1763"/>
      <c r="G132" s="1957"/>
      <c r="H132" s="1769" t="s">
        <v>795</v>
      </c>
      <c r="I132" s="1772" t="s">
        <v>194</v>
      </c>
      <c r="J132" s="1754" t="s">
        <v>750</v>
      </c>
      <c r="K132" s="1754"/>
      <c r="L132" s="1772" t="s">
        <v>194</v>
      </c>
      <c r="M132" s="1754" t="s">
        <v>1754</v>
      </c>
      <c r="N132" s="1754"/>
      <c r="O132" s="1772" t="s">
        <v>194</v>
      </c>
      <c r="P132" s="1754" t="s">
        <v>1753</v>
      </c>
      <c r="Q132" s="1754"/>
      <c r="R132" s="1772" t="s">
        <v>194</v>
      </c>
      <c r="S132" s="1754" t="s">
        <v>1752</v>
      </c>
      <c r="T132" s="1771"/>
      <c r="U132" s="1771"/>
      <c r="V132" s="1771"/>
      <c r="W132" s="1771"/>
      <c r="X132" s="1770"/>
      <c r="Y132" s="1914"/>
      <c r="Z132" s="1913"/>
      <c r="AA132" s="1913"/>
      <c r="AB132" s="1794"/>
      <c r="AC132" s="1954"/>
      <c r="AD132" s="1954"/>
      <c r="AE132" s="1954"/>
      <c r="AF132" s="1954"/>
      <c r="AI132" s="1735" t="str">
        <f>"16:serteikyo_kyoka_code:" &amp; IF(I132="■",1,IF(L132="■",5,IF(O132="■",4,IF(R132="■",6,0))))</f>
        <v>16:serteikyo_kyoka_code:0</v>
      </c>
    </row>
    <row r="133" spans="1:37" s="1735" customFormat="1" ht="18.75" hidden="1" customHeight="1">
      <c r="A133" s="1752"/>
      <c r="B133" s="1751"/>
      <c r="C133" s="1750"/>
      <c r="D133" s="1749"/>
      <c r="E133" s="1748"/>
      <c r="F133" s="1747"/>
      <c r="G133" s="1808"/>
      <c r="H133" s="1909" t="s">
        <v>1553</v>
      </c>
      <c r="I133" s="1744" t="s">
        <v>194</v>
      </c>
      <c r="J133" s="1905" t="s">
        <v>750</v>
      </c>
      <c r="K133" s="1905"/>
      <c r="L133" s="1743" t="s">
        <v>194</v>
      </c>
      <c r="M133" s="1905" t="s">
        <v>1552</v>
      </c>
      <c r="N133" s="1908"/>
      <c r="O133" s="1743" t="s">
        <v>194</v>
      </c>
      <c r="P133" s="1907" t="s">
        <v>1551</v>
      </c>
      <c r="Q133" s="1906"/>
      <c r="R133" s="1743" t="s">
        <v>194</v>
      </c>
      <c r="S133" s="1905" t="s">
        <v>1550</v>
      </c>
      <c r="T133" s="1906"/>
      <c r="U133" s="1743" t="s">
        <v>194</v>
      </c>
      <c r="V133" s="1905" t="s">
        <v>1549</v>
      </c>
      <c r="W133" s="1904"/>
      <c r="X133" s="1903"/>
      <c r="Y133" s="1902"/>
      <c r="Z133" s="1902"/>
      <c r="AA133" s="1902"/>
      <c r="AB133" s="1901"/>
      <c r="AC133" s="1953"/>
      <c r="AD133" s="1953"/>
      <c r="AE133" s="1953"/>
      <c r="AF133" s="1953"/>
      <c r="AI133" s="1735" t="str">
        <f>"16:shoguukaizen_code:"&amp;IF(I133="■",1,IF(L133="■",7,IF(O133="■",8,IF(R133="■",9,IF(U133="■","A",0)))))</f>
        <v>16:shoguukaizen_code:0</v>
      </c>
    </row>
    <row r="134" spans="1:37" s="1735" customFormat="1" ht="18.75" hidden="1" customHeight="1">
      <c r="A134" s="1807"/>
      <c r="B134" s="1806"/>
      <c r="C134" s="1849"/>
      <c r="D134" s="1848"/>
      <c r="E134" s="1804"/>
      <c r="F134" s="1803"/>
      <c r="G134" s="1802"/>
      <c r="H134" s="1801" t="s">
        <v>1676</v>
      </c>
      <c r="I134" s="1800" t="s">
        <v>194</v>
      </c>
      <c r="J134" s="1799" t="s">
        <v>747</v>
      </c>
      <c r="K134" s="1846"/>
      <c r="L134" s="1845"/>
      <c r="M134" s="1798" t="s">
        <v>194</v>
      </c>
      <c r="N134" s="1799" t="s">
        <v>748</v>
      </c>
      <c r="O134" s="1797"/>
      <c r="P134" s="1797"/>
      <c r="Q134" s="1797"/>
      <c r="R134" s="1797"/>
      <c r="S134" s="1797"/>
      <c r="T134" s="1797"/>
      <c r="U134" s="1797"/>
      <c r="V134" s="1797"/>
      <c r="W134" s="1797"/>
      <c r="X134" s="2034"/>
      <c r="Y134" s="1873" t="s">
        <v>194</v>
      </c>
      <c r="Z134" s="1872" t="s">
        <v>749</v>
      </c>
      <c r="AA134" s="1872"/>
      <c r="AB134" s="1929"/>
      <c r="AC134" s="1873" t="s">
        <v>194</v>
      </c>
      <c r="AD134" s="1872" t="s">
        <v>749</v>
      </c>
      <c r="AE134" s="1872"/>
      <c r="AF134" s="1929"/>
      <c r="AG134" s="1735" t="str">
        <f>"ser_code = '" &amp; IF(A149="■",21,"") &amp; "'"</f>
        <v>ser_code = ''</v>
      </c>
      <c r="AI134" s="1735" t="str">
        <f>"21:yakan_kinmu_code:" &amp; IF(I134="■",1,IF(M134="■",6,0))</f>
        <v>21:yakan_kinmu_code:0</v>
      </c>
      <c r="AJ134" s="1735" t="str">
        <f>"21:field203:" &amp; IF(Y134="■",1,IF(Y135="■",2,0))</f>
        <v>21:field203:0</v>
      </c>
      <c r="AK134" s="1735" t="str">
        <f>"21:waribiki_code:" &amp; IF(AC134="■",1,IF(AC135="■",2,0))</f>
        <v>21:waribiki_code:0</v>
      </c>
    </row>
    <row r="135" spans="1:37" s="1735" customFormat="1" ht="18.75" hidden="1" customHeight="1">
      <c r="A135" s="1766"/>
      <c r="B135" s="1765"/>
      <c r="C135" s="1764"/>
      <c r="D135" s="1763"/>
      <c r="E135" s="1762"/>
      <c r="F135" s="1761"/>
      <c r="G135" s="1793"/>
      <c r="H135" s="1769" t="s">
        <v>1717</v>
      </c>
      <c r="I135" s="1773" t="s">
        <v>194</v>
      </c>
      <c r="J135" s="1754" t="s">
        <v>750</v>
      </c>
      <c r="K135" s="1754"/>
      <c r="L135" s="1791"/>
      <c r="M135" s="1772" t="s">
        <v>194</v>
      </c>
      <c r="N135" s="1754" t="s">
        <v>751</v>
      </c>
      <c r="O135" s="1754"/>
      <c r="P135" s="1791"/>
      <c r="Q135" s="1772" t="s">
        <v>194</v>
      </c>
      <c r="R135" s="1771" t="s">
        <v>752</v>
      </c>
      <c r="S135" s="1771"/>
      <c r="T135" s="1771"/>
      <c r="U135" s="1771"/>
      <c r="V135" s="1771"/>
      <c r="W135" s="1771"/>
      <c r="X135" s="1770"/>
      <c r="Y135" s="1878" t="s">
        <v>194</v>
      </c>
      <c r="Z135" s="1738" t="s">
        <v>754</v>
      </c>
      <c r="AA135" s="1913"/>
      <c r="AB135" s="1794"/>
      <c r="AC135" s="1776" t="s">
        <v>194</v>
      </c>
      <c r="AD135" s="1738" t="s">
        <v>754</v>
      </c>
      <c r="AE135" s="1913"/>
      <c r="AF135" s="1794"/>
      <c r="AG135" s="1735" t="str">
        <f>"21:sisetukbn_code:" &amp; IF(D148="■",1,IF(D149="■",2,IF(D150="■",3,IF(D151="■",4,0))))</f>
        <v>21:sisetukbn_code:0</v>
      </c>
      <c r="AI135" s="1735" t="str">
        <f>"21:"&amp;IF(AND(I135="□",M135="□",Q135="□"),"ketu_kangos_code:0",IF(I135="■","ketu_kangos_code:1:ketu_kshoku_code:1",IF(M135="■","ketu_kangos_code:2","ketu_kangos_code:1")&amp;IF(Q135="■",":ketu_kshoku_code:2",":ketu_kshoku_code:1")))</f>
        <v>21:ketu_kangos_code:0</v>
      </c>
    </row>
    <row r="136" spans="1:37" s="1735" customFormat="1" ht="18.75" hidden="1" customHeight="1">
      <c r="A136" s="1766"/>
      <c r="B136" s="1765"/>
      <c r="C136" s="1764"/>
      <c r="D136" s="1763"/>
      <c r="E136" s="1762"/>
      <c r="F136" s="1761"/>
      <c r="G136" s="1793"/>
      <c r="H136" s="1769" t="s">
        <v>99</v>
      </c>
      <c r="I136" s="1773" t="s">
        <v>194</v>
      </c>
      <c r="J136" s="1754" t="s">
        <v>755</v>
      </c>
      <c r="K136" s="1789"/>
      <c r="L136" s="1791"/>
      <c r="M136" s="1772" t="s">
        <v>194</v>
      </c>
      <c r="N136" s="1754" t="s">
        <v>756</v>
      </c>
      <c r="O136" s="1768"/>
      <c r="P136" s="1771"/>
      <c r="Q136" s="1771"/>
      <c r="R136" s="1771"/>
      <c r="S136" s="1771"/>
      <c r="T136" s="1771"/>
      <c r="U136" s="1771"/>
      <c r="V136" s="1771"/>
      <c r="W136" s="1771"/>
      <c r="X136" s="1770"/>
      <c r="Y136" s="1914"/>
      <c r="Z136" s="1913"/>
      <c r="AA136" s="1913"/>
      <c r="AB136" s="1794"/>
      <c r="AC136" s="1914"/>
      <c r="AD136" s="1913"/>
      <c r="AE136" s="1913"/>
      <c r="AF136" s="1794"/>
      <c r="AI136" s="1735" t="str">
        <f>"21:unitcare_code:" &amp; IF(I136="■",1,IF(M136="■",2,0))</f>
        <v>21:unitcare_code:0</v>
      </c>
    </row>
    <row r="137" spans="1:37" s="1735" customFormat="1" ht="18.75" hidden="1" customHeight="1">
      <c r="A137" s="1766"/>
      <c r="B137" s="1765"/>
      <c r="C137" s="1916"/>
      <c r="D137" s="1915"/>
      <c r="E137" s="1762"/>
      <c r="F137" s="1761"/>
      <c r="G137" s="1793"/>
      <c r="H137" s="2002" t="s">
        <v>757</v>
      </c>
      <c r="I137" s="1842" t="s">
        <v>194</v>
      </c>
      <c r="J137" s="1837" t="s">
        <v>758</v>
      </c>
      <c r="K137" s="1841"/>
      <c r="L137" s="1840"/>
      <c r="M137" s="1839" t="s">
        <v>194</v>
      </c>
      <c r="N137" s="1837" t="s">
        <v>759</v>
      </c>
      <c r="O137" s="1841"/>
      <c r="P137" s="2001"/>
      <c r="Q137" s="2001"/>
      <c r="R137" s="2001"/>
      <c r="S137" s="2001"/>
      <c r="T137" s="2001"/>
      <c r="U137" s="2001"/>
      <c r="V137" s="2001"/>
      <c r="W137" s="2001"/>
      <c r="X137" s="2000"/>
      <c r="Y137" s="1914"/>
      <c r="Z137" s="1913"/>
      <c r="AA137" s="1913"/>
      <c r="AB137" s="1794"/>
      <c r="AC137" s="1914"/>
      <c r="AD137" s="1913"/>
      <c r="AE137" s="1913"/>
      <c r="AF137" s="1794"/>
      <c r="AI137" s="1735" t="str">
        <f>"21:sintaikousoku_code:" &amp; IF(I137="■",1,IF(M137="■",2,0))</f>
        <v>21:sintaikousoku_code:0</v>
      </c>
    </row>
    <row r="138" spans="1:37" s="1735" customFormat="1" ht="19.5" hidden="1" customHeight="1">
      <c r="A138" s="1766"/>
      <c r="B138" s="1765"/>
      <c r="C138" s="1764"/>
      <c r="D138" s="1763"/>
      <c r="E138" s="1762"/>
      <c r="F138" s="1761"/>
      <c r="G138" s="1793"/>
      <c r="H138" s="1792" t="s">
        <v>760</v>
      </c>
      <c r="I138" s="1773" t="s">
        <v>194</v>
      </c>
      <c r="J138" s="1754" t="s">
        <v>758</v>
      </c>
      <c r="K138" s="1789"/>
      <c r="L138" s="1791"/>
      <c r="M138" s="1772" t="s">
        <v>194</v>
      </c>
      <c r="N138" s="1754" t="s">
        <v>761</v>
      </c>
      <c r="O138" s="1920"/>
      <c r="P138" s="1754"/>
      <c r="Q138" s="1768"/>
      <c r="R138" s="1768"/>
      <c r="S138" s="1768"/>
      <c r="T138" s="1768"/>
      <c r="U138" s="1768"/>
      <c r="V138" s="1768"/>
      <c r="W138" s="1768"/>
      <c r="X138" s="1767"/>
      <c r="Y138" s="1913"/>
      <c r="Z138" s="1913"/>
      <c r="AA138" s="1913"/>
      <c r="AB138" s="1794"/>
      <c r="AC138" s="1914"/>
      <c r="AD138" s="1913"/>
      <c r="AE138" s="1913"/>
      <c r="AF138" s="1794"/>
      <c r="AI138" s="1735" t="str">
        <f>"21:field223:" &amp; IF(I138="■",1,IF(M138="■",2,0))</f>
        <v>21:field223:0</v>
      </c>
    </row>
    <row r="139" spans="1:37" s="1735" customFormat="1" ht="19.5" hidden="1" customHeight="1">
      <c r="A139" s="1766"/>
      <c r="B139" s="1765"/>
      <c r="C139" s="1764"/>
      <c r="D139" s="1763"/>
      <c r="E139" s="1762"/>
      <c r="F139" s="1761"/>
      <c r="G139" s="1793"/>
      <c r="H139" s="1792" t="s">
        <v>762</v>
      </c>
      <c r="I139" s="1773" t="s">
        <v>194</v>
      </c>
      <c r="J139" s="1754" t="s">
        <v>758</v>
      </c>
      <c r="K139" s="1789"/>
      <c r="L139" s="1791"/>
      <c r="M139" s="1772" t="s">
        <v>194</v>
      </c>
      <c r="N139" s="1754" t="s">
        <v>761</v>
      </c>
      <c r="O139" s="1920"/>
      <c r="P139" s="1754"/>
      <c r="Q139" s="1768"/>
      <c r="R139" s="1768"/>
      <c r="S139" s="1768"/>
      <c r="T139" s="1768"/>
      <c r="U139" s="1768"/>
      <c r="V139" s="1768"/>
      <c r="W139" s="1768"/>
      <c r="X139" s="1767"/>
      <c r="Y139" s="1913"/>
      <c r="Z139" s="1913"/>
      <c r="AA139" s="1913"/>
      <c r="AB139" s="1794"/>
      <c r="AC139" s="1914"/>
      <c r="AD139" s="1913"/>
      <c r="AE139" s="1913"/>
      <c r="AF139" s="1794"/>
      <c r="AI139" s="1735" t="str">
        <f>"21:field232:" &amp; IF(I139="■",1,IF(M139="■",2,0))</f>
        <v>21:field232:0</v>
      </c>
    </row>
    <row r="140" spans="1:37" s="1735" customFormat="1" ht="18.75" hidden="1" customHeight="1">
      <c r="A140" s="1766"/>
      <c r="B140" s="1765"/>
      <c r="C140" s="1764"/>
      <c r="D140" s="1763"/>
      <c r="E140" s="1762"/>
      <c r="F140" s="1761"/>
      <c r="G140" s="1793"/>
      <c r="H140" s="1788" t="s">
        <v>1751</v>
      </c>
      <c r="I140" s="1969" t="s">
        <v>194</v>
      </c>
      <c r="J140" s="1968" t="s">
        <v>750</v>
      </c>
      <c r="K140" s="1968"/>
      <c r="L140" s="1967" t="s">
        <v>194</v>
      </c>
      <c r="M140" s="1968" t="s">
        <v>764</v>
      </c>
      <c r="N140" s="1968"/>
      <c r="O140" s="1923"/>
      <c r="P140" s="1923"/>
      <c r="Q140" s="1923"/>
      <c r="R140" s="1923"/>
      <c r="S140" s="1923"/>
      <c r="T140" s="1923"/>
      <c r="U140" s="1923"/>
      <c r="V140" s="1923"/>
      <c r="W140" s="1923"/>
      <c r="X140" s="1956"/>
      <c r="Y140" s="1914"/>
      <c r="Z140" s="1913"/>
      <c r="AA140" s="1913"/>
      <c r="AB140" s="1794"/>
      <c r="AC140" s="1914"/>
      <c r="AD140" s="1913"/>
      <c r="AE140" s="1913"/>
      <c r="AF140" s="1794"/>
      <c r="AI140" s="1735" t="str">
        <f>"21:field189:" &amp; IF(I140="■",1,IF(L140="■",2,0))</f>
        <v>21:field189:0</v>
      </c>
    </row>
    <row r="141" spans="1:37" s="1735" customFormat="1" ht="18.75" hidden="1" customHeight="1">
      <c r="A141" s="1766"/>
      <c r="B141" s="1765"/>
      <c r="C141" s="1764"/>
      <c r="D141" s="1763"/>
      <c r="E141" s="1762"/>
      <c r="F141" s="1761"/>
      <c r="G141" s="1793"/>
      <c r="H141" s="1783"/>
      <c r="I141" s="1969"/>
      <c r="J141" s="1968"/>
      <c r="K141" s="1968"/>
      <c r="L141" s="1967"/>
      <c r="M141" s="1968"/>
      <c r="N141" s="1968"/>
      <c r="O141" s="1756"/>
      <c r="P141" s="1756"/>
      <c r="Q141" s="1756"/>
      <c r="R141" s="1756"/>
      <c r="S141" s="1756"/>
      <c r="T141" s="1756"/>
      <c r="U141" s="1756"/>
      <c r="V141" s="1756"/>
      <c r="W141" s="1756"/>
      <c r="X141" s="1814"/>
      <c r="Y141" s="1914"/>
      <c r="Z141" s="1913"/>
      <c r="AA141" s="1913"/>
      <c r="AB141" s="1794"/>
      <c r="AC141" s="1914"/>
      <c r="AD141" s="1913"/>
      <c r="AE141" s="1913"/>
      <c r="AF141" s="1794"/>
    </row>
    <row r="142" spans="1:37" s="1735" customFormat="1" ht="18.75" hidden="1" customHeight="1">
      <c r="A142" s="1766"/>
      <c r="B142" s="1765"/>
      <c r="C142" s="1764"/>
      <c r="D142" s="1763"/>
      <c r="E142" s="1762"/>
      <c r="F142" s="1761"/>
      <c r="G142" s="1793"/>
      <c r="H142" s="1769" t="s">
        <v>1750</v>
      </c>
      <c r="I142" s="1773" t="s">
        <v>194</v>
      </c>
      <c r="J142" s="1754" t="s">
        <v>750</v>
      </c>
      <c r="K142" s="1789"/>
      <c r="L142" s="1772" t="s">
        <v>194</v>
      </c>
      <c r="M142" s="1754" t="s">
        <v>764</v>
      </c>
      <c r="N142" s="1771"/>
      <c r="O142" s="1768"/>
      <c r="P142" s="1768"/>
      <c r="Q142" s="1768"/>
      <c r="R142" s="1768"/>
      <c r="S142" s="1768"/>
      <c r="T142" s="1768"/>
      <c r="U142" s="1768"/>
      <c r="V142" s="1768"/>
      <c r="W142" s="1768"/>
      <c r="X142" s="1767"/>
      <c r="Y142" s="1914"/>
      <c r="Z142" s="1913"/>
      <c r="AA142" s="1913"/>
      <c r="AB142" s="1794"/>
      <c r="AC142" s="1914"/>
      <c r="AD142" s="1913"/>
      <c r="AE142" s="1913"/>
      <c r="AF142" s="1794"/>
      <c r="AI142" s="1735" t="str">
        <f>"21:field151:" &amp; IF(I142="■",1,IF(L142="■",2,0))</f>
        <v>21:field151:0</v>
      </c>
    </row>
    <row r="143" spans="1:37" s="1735" customFormat="1" ht="18.75" hidden="1" customHeight="1">
      <c r="A143" s="1766"/>
      <c r="B143" s="1765"/>
      <c r="C143" s="1764"/>
      <c r="D143" s="1763"/>
      <c r="E143" s="1762"/>
      <c r="F143" s="1761"/>
      <c r="G143" s="1793"/>
      <c r="H143" s="1759" t="s">
        <v>772</v>
      </c>
      <c r="I143" s="1773" t="s">
        <v>194</v>
      </c>
      <c r="J143" s="1754" t="s">
        <v>750</v>
      </c>
      <c r="K143" s="1754"/>
      <c r="L143" s="1772" t="s">
        <v>194</v>
      </c>
      <c r="M143" s="1754" t="s">
        <v>773</v>
      </c>
      <c r="N143" s="1754"/>
      <c r="O143" s="1772" t="s">
        <v>194</v>
      </c>
      <c r="P143" s="1754" t="s">
        <v>774</v>
      </c>
      <c r="Q143" s="1771"/>
      <c r="R143" s="1771"/>
      <c r="S143" s="1771"/>
      <c r="T143" s="1771"/>
      <c r="U143" s="1771"/>
      <c r="V143" s="1771"/>
      <c r="W143" s="1771"/>
      <c r="X143" s="1770"/>
      <c r="Y143" s="1914"/>
      <c r="Z143" s="1913"/>
      <c r="AA143" s="1913"/>
      <c r="AB143" s="1794"/>
      <c r="AC143" s="1914"/>
      <c r="AD143" s="1913"/>
      <c r="AE143" s="1913"/>
      <c r="AF143" s="1794"/>
      <c r="AI143" s="1735" t="str">
        <f>"21:field185:" &amp; IF(I143="■",1,IF(L143="■",3,IF(O143="■",2,0)))</f>
        <v>21:field185:0</v>
      </c>
    </row>
    <row r="144" spans="1:37" s="1735" customFormat="1" ht="18.75" hidden="1" customHeight="1">
      <c r="A144" s="1766"/>
      <c r="B144" s="1765"/>
      <c r="C144" s="1764"/>
      <c r="D144" s="1763"/>
      <c r="E144" s="1762"/>
      <c r="F144" s="1761"/>
      <c r="G144" s="1793"/>
      <c r="H144" s="1769" t="s">
        <v>1749</v>
      </c>
      <c r="I144" s="1773" t="s">
        <v>194</v>
      </c>
      <c r="J144" s="1754" t="s">
        <v>750</v>
      </c>
      <c r="K144" s="1789"/>
      <c r="L144" s="1772" t="s">
        <v>194</v>
      </c>
      <c r="M144" s="1754" t="s">
        <v>764</v>
      </c>
      <c r="N144" s="1771"/>
      <c r="O144" s="1768"/>
      <c r="P144" s="1768"/>
      <c r="Q144" s="1768"/>
      <c r="R144" s="1768"/>
      <c r="S144" s="1768"/>
      <c r="T144" s="1768"/>
      <c r="U144" s="1768"/>
      <c r="V144" s="1768"/>
      <c r="W144" s="1768"/>
      <c r="X144" s="1767"/>
      <c r="Y144" s="1914"/>
      <c r="Z144" s="1913"/>
      <c r="AA144" s="1913"/>
      <c r="AB144" s="1794"/>
      <c r="AC144" s="1914"/>
      <c r="AD144" s="1913"/>
      <c r="AE144" s="1913"/>
      <c r="AF144" s="1794"/>
      <c r="AI144" s="1735" t="str">
        <f>"21:kunren_code:" &amp; IF(I144="■",1,IF(L144="■",2,0))</f>
        <v>21:kunren_code:0</v>
      </c>
    </row>
    <row r="145" spans="1:35" s="1735" customFormat="1" ht="18.75" hidden="1" customHeight="1">
      <c r="A145" s="1766"/>
      <c r="B145" s="1765"/>
      <c r="C145" s="1764"/>
      <c r="D145" s="1763"/>
      <c r="E145" s="1762"/>
      <c r="F145" s="1761"/>
      <c r="G145" s="1793"/>
      <c r="H145" s="1759" t="s">
        <v>1748</v>
      </c>
      <c r="I145" s="1773" t="s">
        <v>194</v>
      </c>
      <c r="J145" s="1754" t="s">
        <v>750</v>
      </c>
      <c r="K145" s="1789"/>
      <c r="L145" s="1772" t="s">
        <v>194</v>
      </c>
      <c r="M145" s="1754" t="s">
        <v>764</v>
      </c>
      <c r="N145" s="1771"/>
      <c r="O145" s="1768"/>
      <c r="P145" s="1768"/>
      <c r="Q145" s="1768"/>
      <c r="R145" s="1768"/>
      <c r="S145" s="1768"/>
      <c r="T145" s="1768"/>
      <c r="U145" s="1768"/>
      <c r="V145" s="1768"/>
      <c r="W145" s="1768"/>
      <c r="X145" s="1767"/>
      <c r="Y145" s="1914"/>
      <c r="Z145" s="1913"/>
      <c r="AA145" s="1913"/>
      <c r="AB145" s="1794"/>
      <c r="AC145" s="1914"/>
      <c r="AD145" s="1913"/>
      <c r="AE145" s="1913"/>
      <c r="AF145" s="1794"/>
      <c r="AI145" s="1735" t="str">
        <f>"21:kobetu_kunren_code:" &amp; IF(I145="■",1,IF(L145="■",2,0))</f>
        <v>21:kobetu_kunren_code:0</v>
      </c>
    </row>
    <row r="146" spans="1:35" s="1735" customFormat="1" ht="18.75" hidden="1" customHeight="1">
      <c r="A146" s="1766"/>
      <c r="B146" s="1765"/>
      <c r="C146" s="1764"/>
      <c r="D146" s="1763"/>
      <c r="E146" s="1762"/>
      <c r="F146" s="1761"/>
      <c r="G146" s="1793"/>
      <c r="H146" s="1769" t="s">
        <v>1747</v>
      </c>
      <c r="I146" s="1773" t="s">
        <v>194</v>
      </c>
      <c r="J146" s="1754" t="s">
        <v>750</v>
      </c>
      <c r="K146" s="1754"/>
      <c r="L146" s="1772" t="s">
        <v>194</v>
      </c>
      <c r="M146" s="1754" t="s">
        <v>784</v>
      </c>
      <c r="N146" s="1754"/>
      <c r="O146" s="1772" t="s">
        <v>194</v>
      </c>
      <c r="P146" s="1754" t="s">
        <v>1746</v>
      </c>
      <c r="Q146" s="1771"/>
      <c r="R146" s="1771"/>
      <c r="S146" s="1771"/>
      <c r="T146" s="1771"/>
      <c r="U146" s="1771"/>
      <c r="V146" s="1771"/>
      <c r="W146" s="1771"/>
      <c r="X146" s="1770"/>
      <c r="Y146" s="1914"/>
      <c r="Z146" s="1913"/>
      <c r="AA146" s="1913"/>
      <c r="AB146" s="1794"/>
      <c r="AC146" s="1914"/>
      <c r="AD146" s="1913"/>
      <c r="AE146" s="1913"/>
      <c r="AF146" s="1794"/>
      <c r="AI146" s="1735" t="str">
        <f>"21:field158:" &amp; IF(I146="■",1,IF(O146="■",3,IF(L146="■",2,0)))</f>
        <v>21:field158:0</v>
      </c>
    </row>
    <row r="147" spans="1:35" s="1735" customFormat="1" ht="18.75" hidden="1" customHeight="1">
      <c r="A147" s="1766"/>
      <c r="B147" s="1765"/>
      <c r="C147" s="1764"/>
      <c r="D147" s="1763"/>
      <c r="E147" s="1762"/>
      <c r="F147" s="1761"/>
      <c r="G147" s="1793"/>
      <c r="H147" s="1769" t="s">
        <v>1745</v>
      </c>
      <c r="I147" s="1773" t="s">
        <v>194</v>
      </c>
      <c r="J147" s="1754" t="s">
        <v>750</v>
      </c>
      <c r="K147" s="1754"/>
      <c r="L147" s="1772" t="s">
        <v>194</v>
      </c>
      <c r="M147" s="1754" t="s">
        <v>774</v>
      </c>
      <c r="N147" s="1754"/>
      <c r="O147" s="1772" t="s">
        <v>194</v>
      </c>
      <c r="P147" s="1754" t="s">
        <v>1744</v>
      </c>
      <c r="Q147" s="1771"/>
      <c r="R147" s="1771"/>
      <c r="S147" s="1771"/>
      <c r="T147" s="1771"/>
      <c r="U147" s="1771"/>
      <c r="V147" s="1771"/>
      <c r="W147" s="1771"/>
      <c r="X147" s="1770"/>
      <c r="Y147" s="1914"/>
      <c r="Z147" s="1913"/>
      <c r="AA147" s="1913"/>
      <c r="AB147" s="1794"/>
      <c r="AC147" s="1914"/>
      <c r="AD147" s="1913"/>
      <c r="AE147" s="1913"/>
      <c r="AF147" s="1794"/>
      <c r="AI147" s="1735" t="str">
        <f>"21:field159:" &amp; IF(I147="■",1,IF(O147="■",3,IF(L147="■",2,0)))</f>
        <v>21:field159:0</v>
      </c>
    </row>
    <row r="148" spans="1:35" s="1735" customFormat="1" ht="18.75" hidden="1" customHeight="1">
      <c r="A148" s="1766"/>
      <c r="B148" s="1765"/>
      <c r="C148" s="1764"/>
      <c r="D148" s="1878" t="s">
        <v>194</v>
      </c>
      <c r="E148" s="1762" t="s">
        <v>1743</v>
      </c>
      <c r="F148" s="1761"/>
      <c r="G148" s="1793"/>
      <c r="H148" s="1769" t="s">
        <v>1742</v>
      </c>
      <c r="I148" s="1773" t="s">
        <v>194</v>
      </c>
      <c r="J148" s="1754" t="s">
        <v>750</v>
      </c>
      <c r="K148" s="1789"/>
      <c r="L148" s="1772" t="s">
        <v>194</v>
      </c>
      <c r="M148" s="1754" t="s">
        <v>764</v>
      </c>
      <c r="N148" s="1771"/>
      <c r="O148" s="1768"/>
      <c r="P148" s="1768"/>
      <c r="Q148" s="1768"/>
      <c r="R148" s="1768"/>
      <c r="S148" s="1768"/>
      <c r="T148" s="1768"/>
      <c r="U148" s="1768"/>
      <c r="V148" s="1768"/>
      <c r="W148" s="1768"/>
      <c r="X148" s="1767"/>
      <c r="Y148" s="1914"/>
      <c r="Z148" s="1913"/>
      <c r="AA148" s="1913"/>
      <c r="AB148" s="1794"/>
      <c r="AC148" s="1914"/>
      <c r="AD148" s="1913"/>
      <c r="AE148" s="1913"/>
      <c r="AF148" s="1794"/>
      <c r="AI148" s="1735" t="str">
        <f>"21:field160:" &amp; IF(I148="■",1,IF(L148="■",2,0))</f>
        <v>21:field160:0</v>
      </c>
    </row>
    <row r="149" spans="1:35" s="1735" customFormat="1" ht="18.75" hidden="1" customHeight="1">
      <c r="A149" s="1776" t="s">
        <v>194</v>
      </c>
      <c r="B149" s="1765">
        <v>21</v>
      </c>
      <c r="C149" s="1764" t="s">
        <v>1741</v>
      </c>
      <c r="D149" s="1878" t="s">
        <v>194</v>
      </c>
      <c r="E149" s="1762" t="s">
        <v>1740</v>
      </c>
      <c r="F149" s="1761"/>
      <c r="G149" s="1793"/>
      <c r="H149" s="2033" t="s">
        <v>1739</v>
      </c>
      <c r="I149" s="1758" t="s">
        <v>194</v>
      </c>
      <c r="J149" s="1756" t="s">
        <v>750</v>
      </c>
      <c r="K149" s="1755"/>
      <c r="L149" s="1757" t="s">
        <v>194</v>
      </c>
      <c r="M149" s="1756" t="s">
        <v>764</v>
      </c>
      <c r="N149" s="1780"/>
      <c r="O149" s="1780"/>
      <c r="P149" s="1780"/>
      <c r="Q149" s="1827"/>
      <c r="R149" s="1827"/>
      <c r="S149" s="1827"/>
      <c r="T149" s="1827"/>
      <c r="U149" s="1827"/>
      <c r="V149" s="1827"/>
      <c r="W149" s="1827"/>
      <c r="X149" s="1826"/>
      <c r="Y149" s="1914"/>
      <c r="Z149" s="1913"/>
      <c r="AA149" s="1913"/>
      <c r="AB149" s="1794"/>
      <c r="AC149" s="1914"/>
      <c r="AD149" s="1913"/>
      <c r="AE149" s="1913"/>
      <c r="AF149" s="1794"/>
      <c r="AI149" s="1735" t="str">
        <f>"21:field171:" &amp; IF(I149="■",1,IF(L149="■",2,0))</f>
        <v>21:field171:0</v>
      </c>
    </row>
    <row r="150" spans="1:35" s="1735" customFormat="1" ht="18.75" hidden="1" customHeight="1">
      <c r="A150" s="1766"/>
      <c r="B150" s="1765"/>
      <c r="C150" s="1764"/>
      <c r="D150" s="1878" t="s">
        <v>194</v>
      </c>
      <c r="E150" s="1762" t="s">
        <v>1738</v>
      </c>
      <c r="F150" s="1761"/>
      <c r="G150" s="1793"/>
      <c r="H150" s="1769" t="s">
        <v>768</v>
      </c>
      <c r="I150" s="1773" t="s">
        <v>194</v>
      </c>
      <c r="J150" s="1754" t="s">
        <v>750</v>
      </c>
      <c r="K150" s="1768"/>
      <c r="L150" s="1772" t="s">
        <v>194</v>
      </c>
      <c r="M150" s="1754" t="s">
        <v>769</v>
      </c>
      <c r="N150" s="1768"/>
      <c r="O150" s="1768"/>
      <c r="P150" s="1768"/>
      <c r="Q150" s="1772" t="s">
        <v>194</v>
      </c>
      <c r="R150" s="1771" t="s">
        <v>1737</v>
      </c>
      <c r="S150" s="1768"/>
      <c r="T150" s="1768"/>
      <c r="U150" s="1768"/>
      <c r="V150" s="1768"/>
      <c r="W150" s="1768"/>
      <c r="X150" s="1767"/>
      <c r="Y150" s="1914"/>
      <c r="Z150" s="1913"/>
      <c r="AA150" s="1913"/>
      <c r="AB150" s="1794"/>
      <c r="AC150" s="1914"/>
      <c r="AD150" s="1913"/>
      <c r="AE150" s="1913"/>
      <c r="AF150" s="1794"/>
      <c r="AI150" s="1735" t="str">
        <f>"21:yakinhaiti_code:" &amp; IF(I150="■",1,IF(Q150="■",3,IF(L150="■",2,0)))</f>
        <v>21:yakinhaiti_code:0</v>
      </c>
    </row>
    <row r="151" spans="1:35" s="1735" customFormat="1" ht="18.75" hidden="1" customHeight="1">
      <c r="A151" s="1766"/>
      <c r="B151" s="1765"/>
      <c r="C151" s="1764"/>
      <c r="D151" s="1878" t="s">
        <v>194</v>
      </c>
      <c r="E151" s="1762" t="s">
        <v>1736</v>
      </c>
      <c r="F151" s="1761"/>
      <c r="G151" s="1793"/>
      <c r="H151" s="1788" t="s">
        <v>450</v>
      </c>
      <c r="I151" s="1969" t="s">
        <v>194</v>
      </c>
      <c r="J151" s="1968" t="s">
        <v>750</v>
      </c>
      <c r="K151" s="1968"/>
      <c r="L151" s="1967" t="s">
        <v>194</v>
      </c>
      <c r="M151" s="1968" t="s">
        <v>764</v>
      </c>
      <c r="N151" s="1968"/>
      <c r="O151" s="1923"/>
      <c r="P151" s="1923"/>
      <c r="Q151" s="1923"/>
      <c r="R151" s="1923"/>
      <c r="S151" s="1923"/>
      <c r="T151" s="1923"/>
      <c r="U151" s="1923"/>
      <c r="V151" s="1923"/>
      <c r="W151" s="1923"/>
      <c r="X151" s="1956"/>
      <c r="Y151" s="1914"/>
      <c r="Z151" s="1913"/>
      <c r="AA151" s="1913"/>
      <c r="AB151" s="1794"/>
      <c r="AC151" s="1914"/>
      <c r="AD151" s="1913"/>
      <c r="AE151" s="1913"/>
      <c r="AF151" s="1794"/>
      <c r="AI151" s="1735" t="str">
        <f>"21:field161:" &amp; IF(I151="■",1,IF(L151="■",2,0))</f>
        <v>21:field161:0</v>
      </c>
    </row>
    <row r="152" spans="1:35" s="1735" customFormat="1" ht="18.75" hidden="1" customHeight="1">
      <c r="A152" s="1766"/>
      <c r="B152" s="1765"/>
      <c r="C152" s="1764"/>
      <c r="D152" s="1763"/>
      <c r="E152" s="1762"/>
      <c r="F152" s="1761"/>
      <c r="G152" s="1793"/>
      <c r="H152" s="1783"/>
      <c r="I152" s="1969"/>
      <c r="J152" s="1968"/>
      <c r="K152" s="1968"/>
      <c r="L152" s="1967"/>
      <c r="M152" s="1968"/>
      <c r="N152" s="1968"/>
      <c r="O152" s="1756"/>
      <c r="P152" s="1756"/>
      <c r="Q152" s="1756"/>
      <c r="R152" s="1756"/>
      <c r="S152" s="1756"/>
      <c r="T152" s="1756"/>
      <c r="U152" s="1756"/>
      <c r="V152" s="1756"/>
      <c r="W152" s="1756"/>
      <c r="X152" s="1814"/>
      <c r="Y152" s="1914"/>
      <c r="Z152" s="1913"/>
      <c r="AA152" s="1913"/>
      <c r="AB152" s="1794"/>
      <c r="AC152" s="1914"/>
      <c r="AD152" s="1913"/>
      <c r="AE152" s="1913"/>
      <c r="AF152" s="1794"/>
    </row>
    <row r="153" spans="1:35" s="1735" customFormat="1" ht="18.75" hidden="1" customHeight="1">
      <c r="A153" s="1766"/>
      <c r="B153" s="1765"/>
      <c r="C153" s="1764"/>
      <c r="D153" s="1763"/>
      <c r="E153" s="1762"/>
      <c r="F153" s="1761"/>
      <c r="G153" s="1793"/>
      <c r="H153" s="1769" t="s">
        <v>1498</v>
      </c>
      <c r="I153" s="1773" t="s">
        <v>194</v>
      </c>
      <c r="J153" s="1754" t="s">
        <v>750</v>
      </c>
      <c r="K153" s="1789"/>
      <c r="L153" s="1772" t="s">
        <v>194</v>
      </c>
      <c r="M153" s="1754" t="s">
        <v>764</v>
      </c>
      <c r="N153" s="1771"/>
      <c r="O153" s="1768"/>
      <c r="P153" s="1768"/>
      <c r="Q153" s="1768"/>
      <c r="R153" s="1768"/>
      <c r="S153" s="1768"/>
      <c r="T153" s="1768"/>
      <c r="U153" s="1768"/>
      <c r="V153" s="1768"/>
      <c r="W153" s="1768"/>
      <c r="X153" s="1767"/>
      <c r="Y153" s="1914"/>
      <c r="Z153" s="1913"/>
      <c r="AA153" s="1913"/>
      <c r="AB153" s="1794"/>
      <c r="AC153" s="1914"/>
      <c r="AD153" s="1913"/>
      <c r="AE153" s="1913"/>
      <c r="AF153" s="1794"/>
      <c r="AI153" s="1735" t="str">
        <f>"21:jyakuninti_uke_code:" &amp; IF(I153="■",1,IF(L153="■",2,0))</f>
        <v>21:jyakuninti_uke_code:0</v>
      </c>
    </row>
    <row r="154" spans="1:35" s="1735" customFormat="1" ht="18.75" hidden="1" customHeight="1">
      <c r="A154" s="1766"/>
      <c r="B154" s="1765"/>
      <c r="C154" s="1764"/>
      <c r="D154" s="1763"/>
      <c r="E154" s="1762"/>
      <c r="F154" s="1761"/>
      <c r="G154" s="1793"/>
      <c r="H154" s="1769" t="s">
        <v>1666</v>
      </c>
      <c r="I154" s="1773" t="s">
        <v>194</v>
      </c>
      <c r="J154" s="1754" t="s">
        <v>755</v>
      </c>
      <c r="K154" s="1789"/>
      <c r="L154" s="1768"/>
      <c r="M154" s="1772" t="s">
        <v>194</v>
      </c>
      <c r="N154" s="1754" t="s">
        <v>756</v>
      </c>
      <c r="O154" s="1768"/>
      <c r="P154" s="1768"/>
      <c r="Q154" s="1768"/>
      <c r="R154" s="1768"/>
      <c r="S154" s="1768"/>
      <c r="T154" s="1768"/>
      <c r="U154" s="1768"/>
      <c r="V154" s="1768"/>
      <c r="W154" s="1768"/>
      <c r="X154" s="1767"/>
      <c r="Y154" s="1914"/>
      <c r="Z154" s="1913"/>
      <c r="AA154" s="1913"/>
      <c r="AB154" s="1794"/>
      <c r="AC154" s="1914"/>
      <c r="AD154" s="1913"/>
      <c r="AE154" s="1913"/>
      <c r="AF154" s="1794"/>
      <c r="AI154" s="1735" t="str">
        <f>"21:sougei_code:" &amp; IF(I154="■",1,IF(M154="■",2,0))</f>
        <v>21:sougei_code:0</v>
      </c>
    </row>
    <row r="155" spans="1:35" s="1735" customFormat="1" ht="19.5" hidden="1" customHeight="1">
      <c r="A155" s="1766"/>
      <c r="B155" s="1765"/>
      <c r="C155" s="1764"/>
      <c r="D155" s="1763"/>
      <c r="E155" s="1762"/>
      <c r="F155" s="1761"/>
      <c r="G155" s="1793"/>
      <c r="H155" s="1792" t="s">
        <v>1516</v>
      </c>
      <c r="I155" s="1773" t="s">
        <v>194</v>
      </c>
      <c r="J155" s="1754" t="s">
        <v>750</v>
      </c>
      <c r="K155" s="1754"/>
      <c r="L155" s="1772" t="s">
        <v>194</v>
      </c>
      <c r="M155" s="1754" t="s">
        <v>764</v>
      </c>
      <c r="N155" s="1754"/>
      <c r="O155" s="1768"/>
      <c r="P155" s="1754"/>
      <c r="Q155" s="1768"/>
      <c r="R155" s="1768"/>
      <c r="S155" s="1768"/>
      <c r="T155" s="1768"/>
      <c r="U155" s="1768"/>
      <c r="V155" s="1768"/>
      <c r="W155" s="1768"/>
      <c r="X155" s="1767"/>
      <c r="Y155" s="1913"/>
      <c r="Z155" s="1913"/>
      <c r="AA155" s="1913"/>
      <c r="AB155" s="1794"/>
      <c r="AC155" s="1914"/>
      <c r="AD155" s="1913"/>
      <c r="AE155" s="1913"/>
      <c r="AF155" s="1794"/>
      <c r="AI155" s="1735" t="str">
        <f>"21:field224:" &amp; IF(I155="■",1,IF(L155="■",2,0))</f>
        <v>21:field224:0</v>
      </c>
    </row>
    <row r="156" spans="1:35" s="1735" customFormat="1" ht="18.75" hidden="1" customHeight="1">
      <c r="A156" s="1766"/>
      <c r="B156" s="1765"/>
      <c r="C156" s="1764"/>
      <c r="D156" s="1763"/>
      <c r="E156" s="1762"/>
      <c r="F156" s="1761"/>
      <c r="G156" s="1793"/>
      <c r="H156" s="1769" t="s">
        <v>787</v>
      </c>
      <c r="I156" s="1773" t="s">
        <v>194</v>
      </c>
      <c r="J156" s="1754" t="s">
        <v>750</v>
      </c>
      <c r="K156" s="1789"/>
      <c r="L156" s="1772" t="s">
        <v>194</v>
      </c>
      <c r="M156" s="1754" t="s">
        <v>764</v>
      </c>
      <c r="N156" s="1771"/>
      <c r="O156" s="1768"/>
      <c r="P156" s="1768"/>
      <c r="Q156" s="1768"/>
      <c r="R156" s="1768"/>
      <c r="S156" s="1768"/>
      <c r="T156" s="1768"/>
      <c r="U156" s="1768"/>
      <c r="V156" s="1768"/>
      <c r="W156" s="1768"/>
      <c r="X156" s="1767"/>
      <c r="Y156" s="1914"/>
      <c r="Z156" s="1913"/>
      <c r="AA156" s="1913"/>
      <c r="AB156" s="1794"/>
      <c r="AC156" s="1914"/>
      <c r="AD156" s="1913"/>
      <c r="AE156" s="1913"/>
      <c r="AF156" s="1794"/>
      <c r="AI156" s="1735" t="str">
        <f>"21:ryouyoushoku_code:" &amp; IF(I156="■",1,IF(L156="■",2,0))</f>
        <v>21:ryouyoushoku_code:0</v>
      </c>
    </row>
    <row r="157" spans="1:35" s="1735" customFormat="1" ht="18.75" hidden="1" customHeight="1">
      <c r="A157" s="1766"/>
      <c r="B157" s="1765"/>
      <c r="C157" s="1764"/>
      <c r="D157" s="1763"/>
      <c r="E157" s="1762"/>
      <c r="F157" s="1761"/>
      <c r="G157" s="1793"/>
      <c r="H157" s="1863" t="s">
        <v>791</v>
      </c>
      <c r="I157" s="1773" t="s">
        <v>194</v>
      </c>
      <c r="J157" s="1754" t="s">
        <v>750</v>
      </c>
      <c r="K157" s="1754"/>
      <c r="L157" s="1772" t="s">
        <v>194</v>
      </c>
      <c r="M157" s="1754" t="s">
        <v>784</v>
      </c>
      <c r="N157" s="1754"/>
      <c r="O157" s="1772" t="s">
        <v>194</v>
      </c>
      <c r="P157" s="1754" t="s">
        <v>785</v>
      </c>
      <c r="Q157" s="1768"/>
      <c r="R157" s="1768"/>
      <c r="S157" s="1768"/>
      <c r="T157" s="1768"/>
      <c r="U157" s="1768"/>
      <c r="V157" s="1768"/>
      <c r="W157" s="1768"/>
      <c r="X157" s="1767"/>
      <c r="Y157" s="1914"/>
      <c r="Z157" s="1913"/>
      <c r="AA157" s="1913"/>
      <c r="AB157" s="1794"/>
      <c r="AC157" s="1914"/>
      <c r="AD157" s="1913"/>
      <c r="AE157" s="1913"/>
      <c r="AF157" s="1794"/>
      <c r="AI157" s="1735" t="str">
        <f>"21:ninti_senmoncare_code:" &amp; IF(I157="■",1,IF(O157="■",3,IF(L157="■",2,0)))</f>
        <v>21:ninti_senmoncare_code:0</v>
      </c>
    </row>
    <row r="158" spans="1:35" s="1735" customFormat="1" ht="18.75" hidden="1" customHeight="1">
      <c r="A158" s="1766"/>
      <c r="B158" s="1765"/>
      <c r="C158" s="1764"/>
      <c r="D158" s="1763"/>
      <c r="E158" s="1762"/>
      <c r="F158" s="1761"/>
      <c r="G158" s="1793"/>
      <c r="H158" s="1917" t="s">
        <v>794</v>
      </c>
      <c r="I158" s="1773" t="s">
        <v>194</v>
      </c>
      <c r="J158" s="1754" t="s">
        <v>750</v>
      </c>
      <c r="K158" s="1754"/>
      <c r="L158" s="1772" t="s">
        <v>194</v>
      </c>
      <c r="M158" s="1754" t="s">
        <v>784</v>
      </c>
      <c r="N158" s="1754"/>
      <c r="O158" s="1772" t="s">
        <v>194</v>
      </c>
      <c r="P158" s="1754" t="s">
        <v>785</v>
      </c>
      <c r="Q158" s="1768"/>
      <c r="R158" s="1768"/>
      <c r="S158" s="1768"/>
      <c r="T158" s="1768"/>
      <c r="U158" s="1829"/>
      <c r="V158" s="1829"/>
      <c r="W158" s="1829"/>
      <c r="X158" s="1828"/>
      <c r="Y158" s="1914"/>
      <c r="Z158" s="1913"/>
      <c r="AA158" s="1913"/>
      <c r="AB158" s="1794"/>
      <c r="AC158" s="1914"/>
      <c r="AD158" s="1913"/>
      <c r="AE158" s="1913"/>
      <c r="AF158" s="1794"/>
      <c r="AI158" s="1735" t="str">
        <f>"21:field225:" &amp; IF(I158="■",1,IF(L158="■",2,IF(O158="■",3,0)))</f>
        <v>21:field225:0</v>
      </c>
    </row>
    <row r="159" spans="1:35" s="1735" customFormat="1" ht="18.75" hidden="1" customHeight="1">
      <c r="A159" s="1766"/>
      <c r="B159" s="1765"/>
      <c r="C159" s="1764"/>
      <c r="D159" s="1763"/>
      <c r="E159" s="1762"/>
      <c r="F159" s="1761"/>
      <c r="G159" s="1793"/>
      <c r="H159" s="1788" t="s">
        <v>1735</v>
      </c>
      <c r="I159" s="1969" t="s">
        <v>194</v>
      </c>
      <c r="J159" s="1968" t="s">
        <v>750</v>
      </c>
      <c r="K159" s="1968"/>
      <c r="L159" s="1967" t="s">
        <v>194</v>
      </c>
      <c r="M159" s="1968" t="s">
        <v>1733</v>
      </c>
      <c r="N159" s="1968"/>
      <c r="O159" s="1967" t="s">
        <v>194</v>
      </c>
      <c r="P159" s="1968" t="s">
        <v>1732</v>
      </c>
      <c r="Q159" s="1968"/>
      <c r="R159" s="1967" t="s">
        <v>194</v>
      </c>
      <c r="S159" s="1968" t="s">
        <v>1731</v>
      </c>
      <c r="T159" s="1968"/>
      <c r="U159" s="1923"/>
      <c r="V159" s="1923"/>
      <c r="W159" s="1923"/>
      <c r="X159" s="1956"/>
      <c r="Y159" s="1914"/>
      <c r="Z159" s="1913"/>
      <c r="AA159" s="1913"/>
      <c r="AB159" s="1794"/>
      <c r="AC159" s="1914"/>
      <c r="AD159" s="1913"/>
      <c r="AE159" s="1913"/>
      <c r="AF159" s="1794"/>
      <c r="AI159" s="1735" t="str">
        <f>"21:serteikyo_kyoka_code:" &amp; IF(I159="■",1,IF(L159="■",6,IF(O159="■",5,IF(R159="■",7,0))))</f>
        <v>21:serteikyo_kyoka_code:0</v>
      </c>
    </row>
    <row r="160" spans="1:35" s="1735" customFormat="1" ht="18.75" hidden="1" customHeight="1">
      <c r="A160" s="1766"/>
      <c r="B160" s="1765"/>
      <c r="C160" s="1764"/>
      <c r="D160" s="1763"/>
      <c r="E160" s="1762"/>
      <c r="F160" s="1761"/>
      <c r="G160" s="1793"/>
      <c r="H160" s="1783"/>
      <c r="I160" s="1969"/>
      <c r="J160" s="1968"/>
      <c r="K160" s="1968"/>
      <c r="L160" s="1967"/>
      <c r="M160" s="1968"/>
      <c r="N160" s="1968"/>
      <c r="O160" s="1967"/>
      <c r="P160" s="1968"/>
      <c r="Q160" s="1968"/>
      <c r="R160" s="1967"/>
      <c r="S160" s="1968"/>
      <c r="T160" s="1968"/>
      <c r="U160" s="1756"/>
      <c r="V160" s="1756"/>
      <c r="W160" s="1756"/>
      <c r="X160" s="1814"/>
      <c r="Y160" s="1914"/>
      <c r="Z160" s="1913"/>
      <c r="AA160" s="1913"/>
      <c r="AB160" s="1794"/>
      <c r="AC160" s="1914"/>
      <c r="AD160" s="1913"/>
      <c r="AE160" s="1913"/>
      <c r="AF160" s="1794"/>
    </row>
    <row r="161" spans="1:36" s="1735" customFormat="1" ht="18.75" hidden="1" customHeight="1">
      <c r="A161" s="1766"/>
      <c r="B161" s="1765"/>
      <c r="C161" s="1764"/>
      <c r="D161" s="1763"/>
      <c r="E161" s="1762"/>
      <c r="F161" s="1761"/>
      <c r="G161" s="1793"/>
      <c r="H161" s="1788" t="s">
        <v>1734</v>
      </c>
      <c r="I161" s="1969" t="s">
        <v>194</v>
      </c>
      <c r="J161" s="1968" t="s">
        <v>750</v>
      </c>
      <c r="K161" s="1968"/>
      <c r="L161" s="1967" t="s">
        <v>194</v>
      </c>
      <c r="M161" s="1968" t="s">
        <v>1733</v>
      </c>
      <c r="N161" s="1968"/>
      <c r="O161" s="1967" t="s">
        <v>194</v>
      </c>
      <c r="P161" s="1968" t="s">
        <v>1732</v>
      </c>
      <c r="Q161" s="1968"/>
      <c r="R161" s="1967" t="s">
        <v>194</v>
      </c>
      <c r="S161" s="1968" t="s">
        <v>1731</v>
      </c>
      <c r="T161" s="1968"/>
      <c r="U161" s="1923"/>
      <c r="V161" s="1923"/>
      <c r="W161" s="1923"/>
      <c r="X161" s="1956"/>
      <c r="Y161" s="1914"/>
      <c r="Z161" s="1913"/>
      <c r="AA161" s="1913"/>
      <c r="AB161" s="1794"/>
      <c r="AC161" s="1914"/>
      <c r="AD161" s="1913"/>
      <c r="AE161" s="1913"/>
      <c r="AF161" s="1794"/>
      <c r="AI161" s="1735" t="str">
        <f>"21:serteikyo_kyoka_kuushou_code:" &amp; IF(I161="■",1,IF(L161="■",6,IF(O161="■",5,IF(R161="■",7,0))))</f>
        <v>21:serteikyo_kyoka_kuushou_code:0</v>
      </c>
    </row>
    <row r="162" spans="1:36" s="1735" customFormat="1" ht="18.75" hidden="1" customHeight="1">
      <c r="A162" s="1766"/>
      <c r="B162" s="1765"/>
      <c r="C162" s="1764"/>
      <c r="D162" s="1763"/>
      <c r="E162" s="1762"/>
      <c r="F162" s="1761"/>
      <c r="G162" s="1793"/>
      <c r="H162" s="1783"/>
      <c r="I162" s="1969"/>
      <c r="J162" s="1968"/>
      <c r="K162" s="1968"/>
      <c r="L162" s="1967"/>
      <c r="M162" s="1968"/>
      <c r="N162" s="1968"/>
      <c r="O162" s="1967"/>
      <c r="P162" s="1968"/>
      <c r="Q162" s="1968"/>
      <c r="R162" s="1967"/>
      <c r="S162" s="1968"/>
      <c r="T162" s="1968"/>
      <c r="U162" s="1756"/>
      <c r="V162" s="1756"/>
      <c r="W162" s="1756"/>
      <c r="X162" s="1814"/>
      <c r="Y162" s="1914"/>
      <c r="Z162" s="1913"/>
      <c r="AA162" s="1913"/>
      <c r="AB162" s="1794"/>
      <c r="AC162" s="1914"/>
      <c r="AD162" s="1913"/>
      <c r="AE162" s="1913"/>
      <c r="AF162" s="1794"/>
    </row>
    <row r="163" spans="1:36" s="1735" customFormat="1" ht="18.75" hidden="1" customHeight="1">
      <c r="A163" s="1766"/>
      <c r="B163" s="1765"/>
      <c r="C163" s="1764"/>
      <c r="D163" s="1763"/>
      <c r="E163" s="1762"/>
      <c r="F163" s="1761"/>
      <c r="G163" s="1793"/>
      <c r="H163" s="1788" t="s">
        <v>1665</v>
      </c>
      <c r="I163" s="1969" t="s">
        <v>194</v>
      </c>
      <c r="J163" s="1968" t="s">
        <v>750</v>
      </c>
      <c r="K163" s="1968"/>
      <c r="L163" s="1967" t="s">
        <v>194</v>
      </c>
      <c r="M163" s="1968" t="s">
        <v>764</v>
      </c>
      <c r="N163" s="1968"/>
      <c r="O163" s="1923"/>
      <c r="P163" s="1923"/>
      <c r="Q163" s="1923"/>
      <c r="R163" s="1923"/>
      <c r="S163" s="1923"/>
      <c r="T163" s="1923"/>
      <c r="U163" s="1923"/>
      <c r="V163" s="1923"/>
      <c r="W163" s="1923"/>
      <c r="X163" s="1956"/>
      <c r="Y163" s="1914"/>
      <c r="Z163" s="1913"/>
      <c r="AA163" s="1913"/>
      <c r="AB163" s="1794"/>
      <c r="AC163" s="1914"/>
      <c r="AD163" s="1913"/>
      <c r="AE163" s="1913"/>
      <c r="AF163" s="1794"/>
      <c r="AI163" s="1735" t="str">
        <f>"21:field221:" &amp; IF(I163="■",1,IF(L163="■",2,0))</f>
        <v>21:field221:0</v>
      </c>
    </row>
    <row r="164" spans="1:36" s="1735" customFormat="1" ht="18.75" hidden="1" customHeight="1">
      <c r="A164" s="1766"/>
      <c r="B164" s="1765"/>
      <c r="C164" s="1764"/>
      <c r="D164" s="1763"/>
      <c r="E164" s="1762"/>
      <c r="F164" s="1761"/>
      <c r="G164" s="1793"/>
      <c r="H164" s="1783"/>
      <c r="I164" s="1969"/>
      <c r="J164" s="1968"/>
      <c r="K164" s="1968"/>
      <c r="L164" s="1967"/>
      <c r="M164" s="1968"/>
      <c r="N164" s="1968"/>
      <c r="O164" s="1756"/>
      <c r="P164" s="1756"/>
      <c r="Q164" s="1756"/>
      <c r="R164" s="1756"/>
      <c r="S164" s="1756"/>
      <c r="T164" s="1756"/>
      <c r="U164" s="1756"/>
      <c r="V164" s="1756"/>
      <c r="W164" s="1756"/>
      <c r="X164" s="1814"/>
      <c r="Y164" s="1914"/>
      <c r="Z164" s="1913"/>
      <c r="AA164" s="1913"/>
      <c r="AB164" s="1794"/>
      <c r="AC164" s="1914"/>
      <c r="AD164" s="1913"/>
      <c r="AE164" s="1913"/>
      <c r="AF164" s="1794"/>
    </row>
    <row r="165" spans="1:36" s="1735" customFormat="1" ht="18.75" hidden="1" customHeight="1">
      <c r="A165" s="1752"/>
      <c r="B165" s="1751"/>
      <c r="C165" s="1750"/>
      <c r="D165" s="1749"/>
      <c r="E165" s="1748"/>
      <c r="F165" s="1747"/>
      <c r="G165" s="1808"/>
      <c r="H165" s="1909" t="s">
        <v>1553</v>
      </c>
      <c r="I165" s="1744" t="s">
        <v>194</v>
      </c>
      <c r="J165" s="1905" t="s">
        <v>750</v>
      </c>
      <c r="K165" s="1905"/>
      <c r="L165" s="1743" t="s">
        <v>194</v>
      </c>
      <c r="M165" s="1905" t="s">
        <v>1552</v>
      </c>
      <c r="N165" s="1908"/>
      <c r="O165" s="1743" t="s">
        <v>194</v>
      </c>
      <c r="P165" s="1907" t="s">
        <v>1551</v>
      </c>
      <c r="Q165" s="1906"/>
      <c r="R165" s="1743" t="s">
        <v>194</v>
      </c>
      <c r="S165" s="1905" t="s">
        <v>1550</v>
      </c>
      <c r="T165" s="1906"/>
      <c r="U165" s="1743" t="s">
        <v>194</v>
      </c>
      <c r="V165" s="1905" t="s">
        <v>1549</v>
      </c>
      <c r="W165" s="1904"/>
      <c r="X165" s="1903"/>
      <c r="Y165" s="1902"/>
      <c r="Z165" s="1902"/>
      <c r="AA165" s="1902"/>
      <c r="AB165" s="1901"/>
      <c r="AC165" s="1961"/>
      <c r="AD165" s="1902"/>
      <c r="AE165" s="1902"/>
      <c r="AF165" s="1901"/>
      <c r="AI165" s="1735" t="str">
        <f>"21:shoguukaizen_code:"&amp;IF(I165="■",1,IF(L165="■",7,IF(O165="■",8,IF(R165="■",9,IF(U165="■","A",0)))))</f>
        <v>21:shoguukaizen_code:0</v>
      </c>
    </row>
    <row r="166" spans="1:36" s="1735" customFormat="1" ht="18.75" hidden="1" customHeight="1">
      <c r="A166" s="1807"/>
      <c r="B166" s="1806"/>
      <c r="C166" s="1849"/>
      <c r="D166" s="1848"/>
      <c r="E166" s="1804"/>
      <c r="F166" s="1803"/>
      <c r="G166" s="1804"/>
      <c r="H166" s="2032" t="s">
        <v>746</v>
      </c>
      <c r="I166" s="1800" t="s">
        <v>194</v>
      </c>
      <c r="J166" s="1799" t="s">
        <v>747</v>
      </c>
      <c r="K166" s="1846"/>
      <c r="L166" s="1845"/>
      <c r="M166" s="1798" t="s">
        <v>194</v>
      </c>
      <c r="N166" s="1799" t="s">
        <v>748</v>
      </c>
      <c r="O166" s="1796"/>
      <c r="P166" s="1796"/>
      <c r="Q166" s="1796"/>
      <c r="R166" s="1796"/>
      <c r="S166" s="1796"/>
      <c r="T166" s="1796"/>
      <c r="U166" s="1796"/>
      <c r="V166" s="1796"/>
      <c r="W166" s="1796"/>
      <c r="X166" s="1795"/>
      <c r="Y166" s="1873" t="s">
        <v>194</v>
      </c>
      <c r="Z166" s="1872" t="s">
        <v>749</v>
      </c>
      <c r="AA166" s="1872"/>
      <c r="AB166" s="1929"/>
      <c r="AC166" s="1959"/>
      <c r="AD166" s="1959"/>
      <c r="AE166" s="1959"/>
      <c r="AF166" s="1959"/>
      <c r="AG166" s="1735" t="str">
        <f>"ser_code = '" &amp; IF(A176="■",22,"") &amp; "'"</f>
        <v>ser_code = ''</v>
      </c>
      <c r="AH166" s="1735" t="str">
        <f>"22:jininkbn_code:" &amp; IF(F176="■",1,IF(F177="■",2,0))</f>
        <v>22:jininkbn_code:0</v>
      </c>
      <c r="AI166" s="1735" t="str">
        <f>"22:yakan_kinmu_code:" &amp; IF(I166="■",1,IF(M166="■",6,0))</f>
        <v>22:yakan_kinmu_code:0</v>
      </c>
      <c r="AJ166" s="1735" t="str">
        <f>"22:field203:" &amp; IF(Y166="■",1,IF(Y167="■",2,0))</f>
        <v>22:field203:0</v>
      </c>
    </row>
    <row r="167" spans="1:36" s="1735" customFormat="1" ht="18.75" hidden="1" customHeight="1">
      <c r="A167" s="1766"/>
      <c r="B167" s="1765"/>
      <c r="C167" s="1764"/>
      <c r="D167" s="1763"/>
      <c r="E167" s="1762"/>
      <c r="F167" s="1761"/>
      <c r="G167" s="1762"/>
      <c r="H167" s="2031" t="s">
        <v>98</v>
      </c>
      <c r="I167" s="1924" t="s">
        <v>194</v>
      </c>
      <c r="J167" s="1923" t="s">
        <v>750</v>
      </c>
      <c r="K167" s="1923"/>
      <c r="L167" s="1937"/>
      <c r="M167" s="1922" t="s">
        <v>194</v>
      </c>
      <c r="N167" s="1923" t="s">
        <v>1568</v>
      </c>
      <c r="O167" s="1923"/>
      <c r="P167" s="1937"/>
      <c r="Q167" s="1922" t="s">
        <v>194</v>
      </c>
      <c r="R167" s="1785" t="s">
        <v>1615</v>
      </c>
      <c r="S167" s="1785"/>
      <c r="T167" s="1785"/>
      <c r="U167" s="1922" t="s">
        <v>194</v>
      </c>
      <c r="V167" s="1785" t="s">
        <v>1614</v>
      </c>
      <c r="W167" s="1785"/>
      <c r="X167" s="1784"/>
      <c r="Y167" s="1878" t="s">
        <v>194</v>
      </c>
      <c r="Z167" s="1738" t="s">
        <v>754</v>
      </c>
      <c r="AA167" s="1913"/>
      <c r="AB167" s="1794"/>
      <c r="AC167" s="1954"/>
      <c r="AD167" s="1954"/>
      <c r="AE167" s="1954"/>
      <c r="AF167" s="1954"/>
      <c r="AG167" s="1735" t="str">
        <f>"22:sisetukbn_code:" &amp; IF(D176="■",1,0)</f>
        <v>22:sisetukbn_code:0</v>
      </c>
      <c r="AI167" s="1735" t="str">
        <f>"22:"&amp;IF(AND(I167="□",M167="□",Q167="□",U167="□",I168="□",M168="□",Q168="□"),"ketu_doctor_code:0",IF(I167="■","ketu_doctor_code:1:ketu_kangos_code:1:ketu_kshoku_code:1:ketu_rryoho_code:1:ketu_sryoho_code:1:ketu_gengo_code:1",
IF(M167="■","ketu_doctor_code:2","ketu_doctor_code:1")
&amp;IF(Q167="■",":ketu_kangos_code:2",":ketu_kangos_code:1")
&amp;IF(U167="■",":ketu_kshoku_code:2",":ketu_kshoku_code:1")
&amp;IF(I168="■",":ketu_rryoho_code:2",":ketu_rryoho_code:1")
&amp;IF(M168="■",":ketu_sryoho_code:2",":ketu_sryoho_code:1")
&amp;IF(Q168="■",":ketu_gengo_code:2",":ketu_gengo_code:1")))</f>
        <v>22:ketu_doctor_code:0</v>
      </c>
    </row>
    <row r="168" spans="1:36" s="1735" customFormat="1" ht="18.75" hidden="1" customHeight="1">
      <c r="A168" s="1766"/>
      <c r="B168" s="1765"/>
      <c r="C168" s="1764"/>
      <c r="D168" s="1763"/>
      <c r="E168" s="1762"/>
      <c r="F168" s="1761"/>
      <c r="G168" s="1762"/>
      <c r="H168" s="2030"/>
      <c r="I168" s="1758" t="s">
        <v>194</v>
      </c>
      <c r="J168" s="1756" t="s">
        <v>1613</v>
      </c>
      <c r="K168" s="1756"/>
      <c r="L168" s="2006"/>
      <c r="M168" s="1757" t="s">
        <v>194</v>
      </c>
      <c r="N168" s="1756" t="s">
        <v>1612</v>
      </c>
      <c r="O168" s="1756"/>
      <c r="P168" s="2006"/>
      <c r="Q168" s="1757" t="s">
        <v>194</v>
      </c>
      <c r="R168" s="1780" t="s">
        <v>1716</v>
      </c>
      <c r="S168" s="1780"/>
      <c r="T168" s="1780"/>
      <c r="U168" s="1780"/>
      <c r="V168" s="1780"/>
      <c r="W168" s="1780"/>
      <c r="X168" s="1779"/>
      <c r="Y168" s="1913"/>
      <c r="Z168" s="1913"/>
      <c r="AA168" s="1913"/>
      <c r="AB168" s="1794"/>
      <c r="AC168" s="1954"/>
      <c r="AD168" s="1954"/>
      <c r="AE168" s="1954"/>
      <c r="AF168" s="1954"/>
    </row>
    <row r="169" spans="1:36" s="1735" customFormat="1" ht="18.75" hidden="1" customHeight="1">
      <c r="A169" s="1766"/>
      <c r="B169" s="1765"/>
      <c r="C169" s="1764"/>
      <c r="D169" s="1763"/>
      <c r="E169" s="1762"/>
      <c r="F169" s="1761"/>
      <c r="G169" s="1762"/>
      <c r="H169" s="2029" t="s">
        <v>99</v>
      </c>
      <c r="I169" s="1773" t="s">
        <v>194</v>
      </c>
      <c r="J169" s="1754" t="s">
        <v>755</v>
      </c>
      <c r="K169" s="1789"/>
      <c r="L169" s="1791"/>
      <c r="M169" s="1772" t="s">
        <v>194</v>
      </c>
      <c r="N169" s="1754" t="s">
        <v>756</v>
      </c>
      <c r="O169" s="1768"/>
      <c r="P169" s="1768"/>
      <c r="Q169" s="1768"/>
      <c r="R169" s="1768"/>
      <c r="S169" s="1768"/>
      <c r="T169" s="1768"/>
      <c r="U169" s="1768"/>
      <c r="V169" s="1768"/>
      <c r="W169" s="1768"/>
      <c r="X169" s="1767"/>
      <c r="Y169" s="1913"/>
      <c r="Z169" s="1913"/>
      <c r="AA169" s="1913"/>
      <c r="AB169" s="1794"/>
      <c r="AC169" s="1954"/>
      <c r="AD169" s="1954"/>
      <c r="AE169" s="1954"/>
      <c r="AF169" s="1954"/>
      <c r="AI169" s="1735" t="str">
        <f>"22:unitcare_code:" &amp; IF(I169="■",1,IF(M169="■",2,0))</f>
        <v>22:unitcare_code:0</v>
      </c>
    </row>
    <row r="170" spans="1:36" s="1735" customFormat="1" ht="18.75" hidden="1" customHeight="1">
      <c r="A170" s="1766"/>
      <c r="B170" s="1765"/>
      <c r="C170" s="1916"/>
      <c r="D170" s="1915"/>
      <c r="E170" s="1762"/>
      <c r="F170" s="1761"/>
      <c r="G170" s="1793"/>
      <c r="H170" s="2002" t="s">
        <v>757</v>
      </c>
      <c r="I170" s="1842" t="s">
        <v>194</v>
      </c>
      <c r="J170" s="1837" t="s">
        <v>758</v>
      </c>
      <c r="K170" s="1841"/>
      <c r="L170" s="1840"/>
      <c r="M170" s="1839" t="s">
        <v>194</v>
      </c>
      <c r="N170" s="1837" t="s">
        <v>759</v>
      </c>
      <c r="O170" s="1841"/>
      <c r="P170" s="2001"/>
      <c r="Q170" s="2001"/>
      <c r="R170" s="2001"/>
      <c r="S170" s="2001"/>
      <c r="T170" s="2001"/>
      <c r="U170" s="2001"/>
      <c r="V170" s="2001"/>
      <c r="W170" s="2001"/>
      <c r="X170" s="2000"/>
      <c r="Y170" s="1914"/>
      <c r="Z170" s="1913"/>
      <c r="AA170" s="1913"/>
      <c r="AB170" s="1794"/>
      <c r="AC170" s="1954"/>
      <c r="AD170" s="1954"/>
      <c r="AE170" s="1954"/>
      <c r="AF170" s="1954"/>
      <c r="AI170" s="1735" t="str">
        <f>"22:sintaikousoku_code:" &amp; IF(I170="■",1,IF(M170="■",2,0))</f>
        <v>22:sintaikousoku_code:0</v>
      </c>
    </row>
    <row r="171" spans="1:36" s="1735" customFormat="1" ht="19.5" hidden="1" customHeight="1">
      <c r="A171" s="1766"/>
      <c r="B171" s="1765"/>
      <c r="C171" s="1764"/>
      <c r="D171" s="1763"/>
      <c r="E171" s="1762"/>
      <c r="F171" s="1761"/>
      <c r="G171" s="1793"/>
      <c r="H171" s="1792" t="s">
        <v>760</v>
      </c>
      <c r="I171" s="1773" t="s">
        <v>194</v>
      </c>
      <c r="J171" s="1754" t="s">
        <v>758</v>
      </c>
      <c r="K171" s="1789"/>
      <c r="L171" s="1791"/>
      <c r="M171" s="1772" t="s">
        <v>194</v>
      </c>
      <c r="N171" s="1754" t="s">
        <v>761</v>
      </c>
      <c r="O171" s="1920"/>
      <c r="P171" s="1754"/>
      <c r="Q171" s="1768"/>
      <c r="R171" s="1768"/>
      <c r="S171" s="1768"/>
      <c r="T171" s="1768"/>
      <c r="U171" s="1768"/>
      <c r="V171" s="1768"/>
      <c r="W171" s="1768"/>
      <c r="X171" s="1767"/>
      <c r="Y171" s="1913"/>
      <c r="Z171" s="1913"/>
      <c r="AA171" s="1913"/>
      <c r="AB171" s="1794"/>
      <c r="AC171" s="1954"/>
      <c r="AD171" s="1954"/>
      <c r="AE171" s="1954"/>
      <c r="AF171" s="1954"/>
      <c r="AI171" s="1735" t="str">
        <f>"22:field223:" &amp; IF(I171="■",1,IF(M171="■",2,0))</f>
        <v>22:field223:0</v>
      </c>
    </row>
    <row r="172" spans="1:36" s="1735" customFormat="1" ht="19.5" hidden="1" customHeight="1">
      <c r="A172" s="1766"/>
      <c r="B172" s="1765"/>
      <c r="C172" s="1764"/>
      <c r="D172" s="1763"/>
      <c r="E172" s="1762"/>
      <c r="F172" s="1761"/>
      <c r="G172" s="1793"/>
      <c r="H172" s="1792" t="s">
        <v>762</v>
      </c>
      <c r="I172" s="1773" t="s">
        <v>194</v>
      </c>
      <c r="J172" s="1754" t="s">
        <v>758</v>
      </c>
      <c r="K172" s="1789"/>
      <c r="L172" s="1791"/>
      <c r="M172" s="1772" t="s">
        <v>194</v>
      </c>
      <c r="N172" s="1754" t="s">
        <v>761</v>
      </c>
      <c r="O172" s="1920"/>
      <c r="P172" s="1754"/>
      <c r="Q172" s="1768"/>
      <c r="R172" s="1768"/>
      <c r="S172" s="1768"/>
      <c r="T172" s="1768"/>
      <c r="U172" s="1768"/>
      <c r="V172" s="1768"/>
      <c r="W172" s="1768"/>
      <c r="X172" s="1767"/>
      <c r="Y172" s="1913"/>
      <c r="Z172" s="1913"/>
      <c r="AA172" s="1913"/>
      <c r="AB172" s="1794"/>
      <c r="AC172" s="1954"/>
      <c r="AD172" s="1954"/>
      <c r="AE172" s="1954"/>
      <c r="AF172" s="1954"/>
      <c r="AI172" s="1735" t="str">
        <f>"22:field232:" &amp; IF(I172="■",1,IF(M172="■",2,0))</f>
        <v>22:field232:0</v>
      </c>
    </row>
    <row r="173" spans="1:36" s="835" customFormat="1" ht="19.5" hidden="1" customHeight="1">
      <c r="A173" s="338"/>
      <c r="B173" s="833"/>
      <c r="C173" s="341"/>
      <c r="D173" s="834"/>
      <c r="E173" s="836"/>
      <c r="F173" s="832"/>
      <c r="G173" s="385"/>
      <c r="H173" s="1945" t="s">
        <v>1597</v>
      </c>
      <c r="I173" s="1773" t="s">
        <v>194</v>
      </c>
      <c r="J173" s="1941" t="s">
        <v>1595</v>
      </c>
      <c r="K173" s="1944"/>
      <c r="L173" s="1943"/>
      <c r="M173" s="1772" t="s">
        <v>194</v>
      </c>
      <c r="N173" s="1941" t="s">
        <v>1594</v>
      </c>
      <c r="O173" s="1942"/>
      <c r="P173" s="1941"/>
      <c r="Q173" s="1940"/>
      <c r="R173" s="1940"/>
      <c r="S173" s="1940"/>
      <c r="T173" s="1940"/>
      <c r="U173" s="1940"/>
      <c r="V173" s="1940"/>
      <c r="W173" s="1940"/>
      <c r="X173" s="1939"/>
      <c r="Y173" s="557"/>
      <c r="Z173" s="2"/>
      <c r="AA173" s="837"/>
      <c r="AB173" s="339"/>
      <c r="AC173" s="1954"/>
      <c r="AD173" s="1954"/>
      <c r="AE173" s="1954"/>
      <c r="AF173" s="1954"/>
      <c r="AI173" s="1735" t="str">
        <f>"22:field242:" &amp; IF(I173="■",1,IF(M173="■",2,0))</f>
        <v>22:field242:0</v>
      </c>
    </row>
    <row r="174" spans="1:36" s="1735" customFormat="1" ht="18.75" hidden="1" customHeight="1">
      <c r="A174" s="1766"/>
      <c r="B174" s="1765"/>
      <c r="C174" s="1764"/>
      <c r="D174" s="1763"/>
      <c r="E174" s="1762"/>
      <c r="F174" s="1761"/>
      <c r="G174" s="1762"/>
      <c r="H174" s="2029" t="s">
        <v>768</v>
      </c>
      <c r="I174" s="1773" t="s">
        <v>194</v>
      </c>
      <c r="J174" s="1754" t="s">
        <v>750</v>
      </c>
      <c r="K174" s="1789"/>
      <c r="L174" s="1772" t="s">
        <v>194</v>
      </c>
      <c r="M174" s="1754" t="s">
        <v>764</v>
      </c>
      <c r="N174" s="1768"/>
      <c r="O174" s="1768"/>
      <c r="P174" s="1768"/>
      <c r="Q174" s="1768"/>
      <c r="R174" s="1768"/>
      <c r="S174" s="1768"/>
      <c r="T174" s="1768"/>
      <c r="U174" s="1768"/>
      <c r="V174" s="1768"/>
      <c r="W174" s="1768"/>
      <c r="X174" s="1767"/>
      <c r="Y174" s="1913"/>
      <c r="Z174" s="1913"/>
      <c r="AA174" s="1913"/>
      <c r="AB174" s="1794"/>
      <c r="AC174" s="1954"/>
      <c r="AD174" s="1954"/>
      <c r="AE174" s="1954"/>
      <c r="AF174" s="1954"/>
      <c r="AI174" s="1735" t="str">
        <f>"22:yakinhaiti_code:" &amp; IF(I174="■",1,IF(L174="■",2,0))</f>
        <v>22:yakinhaiti_code:0</v>
      </c>
    </row>
    <row r="175" spans="1:36" s="1735" customFormat="1" ht="18.75" hidden="1" customHeight="1">
      <c r="A175" s="1766"/>
      <c r="B175" s="1765"/>
      <c r="C175" s="1764"/>
      <c r="D175" s="1763"/>
      <c r="E175" s="1762"/>
      <c r="F175" s="1761"/>
      <c r="G175" s="1762"/>
      <c r="H175" s="2029" t="s">
        <v>1607</v>
      </c>
      <c r="I175" s="1773" t="s">
        <v>194</v>
      </c>
      <c r="J175" s="1754" t="s">
        <v>750</v>
      </c>
      <c r="K175" s="1789"/>
      <c r="L175" s="1772" t="s">
        <v>194</v>
      </c>
      <c r="M175" s="1754" t="s">
        <v>764</v>
      </c>
      <c r="N175" s="1768"/>
      <c r="O175" s="1768"/>
      <c r="P175" s="1768"/>
      <c r="Q175" s="1768"/>
      <c r="R175" s="1768"/>
      <c r="S175" s="1768"/>
      <c r="T175" s="1768"/>
      <c r="U175" s="1768"/>
      <c r="V175" s="1768"/>
      <c r="W175" s="1768"/>
      <c r="X175" s="1767"/>
      <c r="Y175" s="1913"/>
      <c r="Z175" s="1913"/>
      <c r="AA175" s="1913"/>
      <c r="AB175" s="1794"/>
      <c r="AC175" s="1954"/>
      <c r="AD175" s="1954"/>
      <c r="AE175" s="1954"/>
      <c r="AF175" s="1954"/>
      <c r="AI175" s="1735" t="str">
        <f>"22:ninticare_code:" &amp; IF(I175="■",1,IF(L175="■",2,0))</f>
        <v>22:ninticare_code:0</v>
      </c>
    </row>
    <row r="176" spans="1:36" s="1735" customFormat="1" ht="18.75" hidden="1" customHeight="1">
      <c r="A176" s="1776" t="s">
        <v>194</v>
      </c>
      <c r="B176" s="1765">
        <v>22</v>
      </c>
      <c r="C176" s="1764" t="s">
        <v>1668</v>
      </c>
      <c r="D176" s="1878" t="s">
        <v>194</v>
      </c>
      <c r="E176" s="1762" t="s">
        <v>1730</v>
      </c>
      <c r="F176" s="1878" t="s">
        <v>194</v>
      </c>
      <c r="G176" s="1762" t="s">
        <v>1632</v>
      </c>
      <c r="H176" s="2029" t="s">
        <v>1498</v>
      </c>
      <c r="I176" s="1773" t="s">
        <v>194</v>
      </c>
      <c r="J176" s="1754" t="s">
        <v>750</v>
      </c>
      <c r="K176" s="1789"/>
      <c r="L176" s="1772" t="s">
        <v>194</v>
      </c>
      <c r="M176" s="1754" t="s">
        <v>764</v>
      </c>
      <c r="N176" s="1768"/>
      <c r="O176" s="1768"/>
      <c r="P176" s="1768"/>
      <c r="Q176" s="1768"/>
      <c r="R176" s="1768"/>
      <c r="S176" s="1768"/>
      <c r="T176" s="1768"/>
      <c r="U176" s="1768"/>
      <c r="V176" s="1768"/>
      <c r="W176" s="1768"/>
      <c r="X176" s="1767"/>
      <c r="Y176" s="1913"/>
      <c r="Z176" s="1913"/>
      <c r="AA176" s="1913"/>
      <c r="AB176" s="1794"/>
      <c r="AC176" s="1954"/>
      <c r="AD176" s="1954"/>
      <c r="AE176" s="1954"/>
      <c r="AF176" s="1954"/>
      <c r="AI176" s="1735" t="str">
        <f>"22:jyakuninti_uke_code:" &amp; IF(I176="■",1,IF(L176="■",2,0))</f>
        <v>22:jyakuninti_uke_code:0</v>
      </c>
    </row>
    <row r="177" spans="1:36" s="1735" customFormat="1" ht="18.75" hidden="1" customHeight="1">
      <c r="A177" s="1766"/>
      <c r="B177" s="1765"/>
      <c r="C177" s="1764"/>
      <c r="D177" s="1761"/>
      <c r="E177" s="1762"/>
      <c r="F177" s="1878" t="s">
        <v>194</v>
      </c>
      <c r="G177" s="1762" t="s">
        <v>1630</v>
      </c>
      <c r="H177" s="2029" t="s">
        <v>1631</v>
      </c>
      <c r="I177" s="1773" t="s">
        <v>194</v>
      </c>
      <c r="J177" s="1754" t="s">
        <v>750</v>
      </c>
      <c r="K177" s="1754"/>
      <c r="L177" s="1772" t="s">
        <v>194</v>
      </c>
      <c r="M177" s="1754" t="s">
        <v>784</v>
      </c>
      <c r="N177" s="1754"/>
      <c r="O177" s="1772" t="s">
        <v>194</v>
      </c>
      <c r="P177" s="1754" t="s">
        <v>785</v>
      </c>
      <c r="Q177" s="1768"/>
      <c r="R177" s="1768"/>
      <c r="S177" s="1768"/>
      <c r="T177" s="1768"/>
      <c r="U177" s="1768"/>
      <c r="V177" s="1768"/>
      <c r="W177" s="1768"/>
      <c r="X177" s="1767"/>
      <c r="Y177" s="1913"/>
      <c r="Z177" s="1913"/>
      <c r="AA177" s="1913"/>
      <c r="AB177" s="1794"/>
      <c r="AC177" s="1954"/>
      <c r="AD177" s="1954"/>
      <c r="AE177" s="1954"/>
      <c r="AF177" s="1954"/>
      <c r="AI177" s="1735" t="str">
        <f>"22:zaitaku_hukki_code:" &amp; IF(I177="■",1,IF(L177="■",2,IF(O177="■",3,0)))</f>
        <v>22:zaitaku_hukki_code:0</v>
      </c>
    </row>
    <row r="178" spans="1:36" s="1735" customFormat="1" ht="18.75" hidden="1" customHeight="1">
      <c r="A178" s="1766"/>
      <c r="B178" s="1765"/>
      <c r="C178" s="1764"/>
      <c r="D178" s="1763"/>
      <c r="E178" s="1762"/>
      <c r="F178" s="1761"/>
      <c r="G178" s="1762"/>
      <c r="H178" s="2029" t="s">
        <v>1666</v>
      </c>
      <c r="I178" s="1773" t="s">
        <v>194</v>
      </c>
      <c r="J178" s="1754" t="s">
        <v>755</v>
      </c>
      <c r="K178" s="1789"/>
      <c r="L178" s="1791"/>
      <c r="M178" s="1772" t="s">
        <v>194</v>
      </c>
      <c r="N178" s="1754" t="s">
        <v>756</v>
      </c>
      <c r="O178" s="1768"/>
      <c r="P178" s="1768"/>
      <c r="Q178" s="1768"/>
      <c r="R178" s="1768"/>
      <c r="S178" s="1768"/>
      <c r="T178" s="1768"/>
      <c r="U178" s="1768"/>
      <c r="V178" s="1768"/>
      <c r="W178" s="1768"/>
      <c r="X178" s="1767"/>
      <c r="Y178" s="1913"/>
      <c r="Z178" s="1913"/>
      <c r="AA178" s="1913"/>
      <c r="AB178" s="1794"/>
      <c r="AC178" s="1954"/>
      <c r="AD178" s="1954"/>
      <c r="AE178" s="1954"/>
      <c r="AF178" s="1954"/>
      <c r="AI178" s="1735" t="str">
        <f>"22:sougei_code:" &amp; IF(I178="■",1,IF(M178="■",2,0))</f>
        <v>22:sougei_code:0</v>
      </c>
    </row>
    <row r="179" spans="1:36" s="1735" customFormat="1" ht="19.5" hidden="1" customHeight="1">
      <c r="A179" s="1766"/>
      <c r="B179" s="1765"/>
      <c r="C179" s="1764"/>
      <c r="D179" s="1763"/>
      <c r="E179" s="1762"/>
      <c r="F179" s="1761"/>
      <c r="G179" s="1762"/>
      <c r="H179" s="1792" t="s">
        <v>1516</v>
      </c>
      <c r="I179" s="1773" t="s">
        <v>194</v>
      </c>
      <c r="J179" s="1754" t="s">
        <v>750</v>
      </c>
      <c r="K179" s="1754"/>
      <c r="L179" s="1772" t="s">
        <v>194</v>
      </c>
      <c r="M179" s="1754" t="s">
        <v>764</v>
      </c>
      <c r="N179" s="1754"/>
      <c r="O179" s="1768"/>
      <c r="P179" s="1754"/>
      <c r="Q179" s="1768"/>
      <c r="R179" s="1768"/>
      <c r="S179" s="1768"/>
      <c r="T179" s="1768"/>
      <c r="U179" s="1768"/>
      <c r="V179" s="1768"/>
      <c r="W179" s="1768"/>
      <c r="X179" s="1767"/>
      <c r="Y179" s="1913"/>
      <c r="Z179" s="1913"/>
      <c r="AA179" s="1913"/>
      <c r="AB179" s="1794"/>
      <c r="AC179" s="1954"/>
      <c r="AD179" s="1954"/>
      <c r="AE179" s="1954"/>
      <c r="AF179" s="1954"/>
      <c r="AI179" s="1735" t="str">
        <f>"22:field224:" &amp; IF(I179="■",1,IF(L179="■",2,0))</f>
        <v>22:field224:0</v>
      </c>
    </row>
    <row r="180" spans="1:36" s="1735" customFormat="1" ht="18.75" hidden="1" customHeight="1">
      <c r="A180" s="1766"/>
      <c r="B180" s="1765"/>
      <c r="C180" s="1764"/>
      <c r="D180" s="1763"/>
      <c r="E180" s="1762"/>
      <c r="F180" s="1761"/>
      <c r="G180" s="1762"/>
      <c r="H180" s="2029" t="s">
        <v>787</v>
      </c>
      <c r="I180" s="1773" t="s">
        <v>194</v>
      </c>
      <c r="J180" s="1754" t="s">
        <v>750</v>
      </c>
      <c r="K180" s="1789"/>
      <c r="L180" s="1772" t="s">
        <v>194</v>
      </c>
      <c r="M180" s="1754" t="s">
        <v>764</v>
      </c>
      <c r="N180" s="1768"/>
      <c r="O180" s="1768"/>
      <c r="P180" s="1768"/>
      <c r="Q180" s="1768"/>
      <c r="R180" s="1768"/>
      <c r="S180" s="1768"/>
      <c r="T180" s="1768"/>
      <c r="U180" s="1768"/>
      <c r="V180" s="1768"/>
      <c r="W180" s="1768"/>
      <c r="X180" s="1767"/>
      <c r="Y180" s="1913"/>
      <c r="Z180" s="1913"/>
      <c r="AA180" s="1913"/>
      <c r="AB180" s="1794"/>
      <c r="AC180" s="1954"/>
      <c r="AD180" s="1954"/>
      <c r="AE180" s="1954"/>
      <c r="AF180" s="1954"/>
      <c r="AI180" s="1735" t="str">
        <f>"22:ryouyoushoku_code:" &amp; IF(I180="■",1,IF(L180="■",2,0))</f>
        <v>22:ryouyoushoku_code:0</v>
      </c>
    </row>
    <row r="181" spans="1:36" s="1735" customFormat="1" ht="18.75" hidden="1" customHeight="1">
      <c r="A181" s="1766"/>
      <c r="B181" s="1765"/>
      <c r="C181" s="1764"/>
      <c r="D181" s="1763"/>
      <c r="E181" s="1762"/>
      <c r="F181" s="1761"/>
      <c r="G181" s="1762"/>
      <c r="H181" s="2029" t="s">
        <v>1681</v>
      </c>
      <c r="I181" s="1773" t="s">
        <v>194</v>
      </c>
      <c r="J181" s="1754" t="s">
        <v>750</v>
      </c>
      <c r="K181" s="1754"/>
      <c r="L181" s="1772" t="s">
        <v>194</v>
      </c>
      <c r="M181" s="1754" t="s">
        <v>784</v>
      </c>
      <c r="N181" s="1754"/>
      <c r="O181" s="1772" t="s">
        <v>194</v>
      </c>
      <c r="P181" s="1754" t="s">
        <v>785</v>
      </c>
      <c r="Q181" s="1768"/>
      <c r="R181" s="1768"/>
      <c r="S181" s="1768"/>
      <c r="T181" s="1768"/>
      <c r="U181" s="1768"/>
      <c r="V181" s="1768"/>
      <c r="W181" s="1768"/>
      <c r="X181" s="1767"/>
      <c r="Y181" s="1913"/>
      <c r="Z181" s="1913"/>
      <c r="AA181" s="1913"/>
      <c r="AB181" s="1794"/>
      <c r="AC181" s="1954"/>
      <c r="AD181" s="1954"/>
      <c r="AE181" s="1954"/>
      <c r="AF181" s="1954"/>
      <c r="AI181" s="1735" t="str">
        <f>"22:ninti_senmoncare_code:" &amp; IF(I181="■",1,IF(O181="■",3,IF(L181="■",2,0)))</f>
        <v>22:ninti_senmoncare_code:0</v>
      </c>
    </row>
    <row r="182" spans="1:36" s="1735" customFormat="1" ht="18.75" hidden="1" customHeight="1">
      <c r="A182" s="1766"/>
      <c r="B182" s="1765"/>
      <c r="C182" s="1764"/>
      <c r="D182" s="1763"/>
      <c r="E182" s="1762"/>
      <c r="F182" s="1761"/>
      <c r="G182" s="1762"/>
      <c r="H182" s="1917" t="s">
        <v>794</v>
      </c>
      <c r="I182" s="1773" t="s">
        <v>194</v>
      </c>
      <c r="J182" s="1754" t="s">
        <v>750</v>
      </c>
      <c r="K182" s="1754"/>
      <c r="L182" s="1772" t="s">
        <v>194</v>
      </c>
      <c r="M182" s="1754" t="s">
        <v>784</v>
      </c>
      <c r="N182" s="1754"/>
      <c r="O182" s="1772" t="s">
        <v>194</v>
      </c>
      <c r="P182" s="1754" t="s">
        <v>785</v>
      </c>
      <c r="Q182" s="1768"/>
      <c r="R182" s="1768"/>
      <c r="S182" s="1768"/>
      <c r="T182" s="1768"/>
      <c r="U182" s="1829"/>
      <c r="V182" s="1829"/>
      <c r="W182" s="1829"/>
      <c r="X182" s="1828"/>
      <c r="Y182" s="1913"/>
      <c r="Z182" s="1913"/>
      <c r="AA182" s="1913"/>
      <c r="AB182" s="1794"/>
      <c r="AC182" s="1954"/>
      <c r="AD182" s="1954"/>
      <c r="AE182" s="1954"/>
      <c r="AF182" s="1954"/>
      <c r="AI182" s="1735" t="str">
        <f>"22:field225:" &amp; IF(I182="■",1,IF(L182="■",2,IF(O182="■",3,0)))</f>
        <v>22:field225:0</v>
      </c>
    </row>
    <row r="183" spans="1:36" s="1735" customFormat="1" ht="18.75" hidden="1" customHeight="1">
      <c r="A183" s="1766"/>
      <c r="B183" s="1765"/>
      <c r="C183" s="1764"/>
      <c r="D183" s="1763"/>
      <c r="E183" s="1762"/>
      <c r="F183" s="1761"/>
      <c r="G183" s="1762"/>
      <c r="H183" s="2028" t="s">
        <v>795</v>
      </c>
      <c r="I183" s="1773" t="s">
        <v>194</v>
      </c>
      <c r="J183" s="1754" t="s">
        <v>750</v>
      </c>
      <c r="K183" s="1754"/>
      <c r="L183" s="1772" t="s">
        <v>194</v>
      </c>
      <c r="M183" s="1754" t="s">
        <v>796</v>
      </c>
      <c r="N183" s="1754"/>
      <c r="O183" s="1772" t="s">
        <v>194</v>
      </c>
      <c r="P183" s="1754" t="s">
        <v>797</v>
      </c>
      <c r="Q183" s="1771"/>
      <c r="R183" s="1772" t="s">
        <v>194</v>
      </c>
      <c r="S183" s="1754" t="s">
        <v>798</v>
      </c>
      <c r="T183" s="1771"/>
      <c r="U183" s="1771"/>
      <c r="V183" s="1771"/>
      <c r="W183" s="1771"/>
      <c r="X183" s="1770"/>
      <c r="Y183" s="1913"/>
      <c r="Z183" s="1913"/>
      <c r="AA183" s="1913"/>
      <c r="AB183" s="1794"/>
      <c r="AC183" s="1954"/>
      <c r="AD183" s="1954"/>
      <c r="AE183" s="1954"/>
      <c r="AF183" s="1954"/>
      <c r="AI183" s="1735" t="str">
        <f>"22:serteikyo_kyoka_code:" &amp; IF(I183="■",1,IF(L183="■",6,IF(O183="■",5,IF(R183="■",7,0))))</f>
        <v>22:serteikyo_kyoka_code:0</v>
      </c>
    </row>
    <row r="184" spans="1:36" s="1735" customFormat="1" ht="18.75" hidden="1" customHeight="1">
      <c r="A184" s="1766"/>
      <c r="B184" s="1765"/>
      <c r="C184" s="1764"/>
      <c r="D184" s="1763"/>
      <c r="E184" s="1762"/>
      <c r="F184" s="1761"/>
      <c r="G184" s="1762"/>
      <c r="H184" s="1788" t="s">
        <v>1665</v>
      </c>
      <c r="I184" s="1969" t="s">
        <v>194</v>
      </c>
      <c r="J184" s="1968" t="s">
        <v>750</v>
      </c>
      <c r="K184" s="1968"/>
      <c r="L184" s="1967" t="s">
        <v>194</v>
      </c>
      <c r="M184" s="1968" t="s">
        <v>764</v>
      </c>
      <c r="N184" s="1968"/>
      <c r="O184" s="1923"/>
      <c r="P184" s="1923"/>
      <c r="Q184" s="1923"/>
      <c r="R184" s="1923"/>
      <c r="S184" s="1923"/>
      <c r="T184" s="1923"/>
      <c r="U184" s="1923"/>
      <c r="V184" s="1923"/>
      <c r="W184" s="1923"/>
      <c r="X184" s="1956"/>
      <c r="Y184" s="1913"/>
      <c r="Z184" s="1913"/>
      <c r="AA184" s="1913"/>
      <c r="AB184" s="1794"/>
      <c r="AC184" s="1954"/>
      <c r="AD184" s="1954"/>
      <c r="AE184" s="1954"/>
      <c r="AF184" s="1954"/>
      <c r="AI184" s="1735" t="str">
        <f>"22:field221:" &amp; IF(I184="■",1,IF(L184="■",2,0))</f>
        <v>22:field221:0</v>
      </c>
    </row>
    <row r="185" spans="1:36" s="1735" customFormat="1" ht="18.75" hidden="1" customHeight="1">
      <c r="A185" s="1766"/>
      <c r="B185" s="1765"/>
      <c r="C185" s="1764"/>
      <c r="D185" s="1763"/>
      <c r="E185" s="1762"/>
      <c r="F185" s="1761"/>
      <c r="G185" s="1762"/>
      <c r="H185" s="1783"/>
      <c r="I185" s="1969"/>
      <c r="J185" s="1968"/>
      <c r="K185" s="1968"/>
      <c r="L185" s="1967"/>
      <c r="M185" s="1968"/>
      <c r="N185" s="1968"/>
      <c r="O185" s="1756"/>
      <c r="P185" s="1756"/>
      <c r="Q185" s="1756"/>
      <c r="R185" s="1756"/>
      <c r="S185" s="1756"/>
      <c r="T185" s="1756"/>
      <c r="U185" s="1756"/>
      <c r="V185" s="1756"/>
      <c r="W185" s="1756"/>
      <c r="X185" s="1814"/>
      <c r="Y185" s="1913"/>
      <c r="Z185" s="1913"/>
      <c r="AA185" s="1913"/>
      <c r="AB185" s="1794"/>
      <c r="AC185" s="1954"/>
      <c r="AD185" s="1954"/>
      <c r="AE185" s="1954"/>
      <c r="AF185" s="1954"/>
    </row>
    <row r="186" spans="1:36" s="1735" customFormat="1" ht="18.75" hidden="1" customHeight="1">
      <c r="A186" s="1752"/>
      <c r="B186" s="1751"/>
      <c r="C186" s="1750"/>
      <c r="D186" s="1749"/>
      <c r="E186" s="1748"/>
      <c r="F186" s="1747"/>
      <c r="G186" s="1808"/>
      <c r="H186" s="1909" t="s">
        <v>1553</v>
      </c>
      <c r="I186" s="1744" t="s">
        <v>194</v>
      </c>
      <c r="J186" s="1905" t="s">
        <v>750</v>
      </c>
      <c r="K186" s="1905"/>
      <c r="L186" s="1743" t="s">
        <v>194</v>
      </c>
      <c r="M186" s="1905" t="s">
        <v>1552</v>
      </c>
      <c r="N186" s="1908"/>
      <c r="O186" s="1743" t="s">
        <v>194</v>
      </c>
      <c r="P186" s="1907" t="s">
        <v>1551</v>
      </c>
      <c r="Q186" s="1906"/>
      <c r="R186" s="1743" t="s">
        <v>194</v>
      </c>
      <c r="S186" s="1905" t="s">
        <v>1550</v>
      </c>
      <c r="T186" s="1906"/>
      <c r="U186" s="1743" t="s">
        <v>194</v>
      </c>
      <c r="V186" s="1905" t="s">
        <v>1549</v>
      </c>
      <c r="W186" s="1904"/>
      <c r="X186" s="1903"/>
      <c r="Y186" s="1902"/>
      <c r="Z186" s="1902"/>
      <c r="AA186" s="1902"/>
      <c r="AB186" s="1901"/>
      <c r="AC186" s="1953"/>
      <c r="AD186" s="1953"/>
      <c r="AE186" s="1953"/>
      <c r="AF186" s="1953"/>
      <c r="AI186" s="1735" t="str">
        <f>"22:shoguukaizen_code:"&amp;IF(I186="■",1,IF(L186="■",7,IF(O186="■",8,IF(R186="■",9,IF(U186="■","A",0)))))</f>
        <v>22:shoguukaizen_code:0</v>
      </c>
    </row>
    <row r="187" spans="1:36" s="1735" customFormat="1" ht="18.75" hidden="1" customHeight="1">
      <c r="A187" s="1807"/>
      <c r="B187" s="1806"/>
      <c r="C187" s="1849"/>
      <c r="D187" s="1848"/>
      <c r="E187" s="1804"/>
      <c r="F187" s="1803"/>
      <c r="G187" s="1804"/>
      <c r="H187" s="2032" t="s">
        <v>746</v>
      </c>
      <c r="I187" s="1800" t="s">
        <v>194</v>
      </c>
      <c r="J187" s="1799" t="s">
        <v>747</v>
      </c>
      <c r="K187" s="1846"/>
      <c r="L187" s="1845"/>
      <c r="M187" s="1798" t="s">
        <v>194</v>
      </c>
      <c r="N187" s="1799" t="s">
        <v>748</v>
      </c>
      <c r="O187" s="1796"/>
      <c r="P187" s="1796"/>
      <c r="Q187" s="1796"/>
      <c r="R187" s="1796"/>
      <c r="S187" s="1796"/>
      <c r="T187" s="1796"/>
      <c r="U187" s="1796"/>
      <c r="V187" s="1796"/>
      <c r="W187" s="1796"/>
      <c r="X187" s="1795"/>
      <c r="Y187" s="1873" t="s">
        <v>194</v>
      </c>
      <c r="Z187" s="1872" t="s">
        <v>749</v>
      </c>
      <c r="AA187" s="1872"/>
      <c r="AB187" s="1929"/>
      <c r="AC187" s="1959"/>
      <c r="AD187" s="1959"/>
      <c r="AE187" s="1959"/>
      <c r="AF187" s="1959"/>
      <c r="AG187" s="1735" t="str">
        <f>"ser_code = '" &amp; IF(A196="■",22,"") &amp; "'"</f>
        <v>ser_code = ''</v>
      </c>
      <c r="AH187" s="1735" t="str">
        <f>"22:jininkbn_code:" &amp; IF(F196="■",1,IF(F197="■",2,0))</f>
        <v>22:jininkbn_code:0</v>
      </c>
      <c r="AI187" s="1735" t="str">
        <f>"22:yakan_kinmu_code:" &amp; IF(I187="■",1,IF(M187="■",6,0))</f>
        <v>22:yakan_kinmu_code:0</v>
      </c>
      <c r="AJ187" s="1735" t="str">
        <f>"22:field203:" &amp; IF(Y187="■",1,IF(Y188="■",2,0))</f>
        <v>22:field203:0</v>
      </c>
    </row>
    <row r="188" spans="1:36" s="1735" customFormat="1" ht="18.75" hidden="1" customHeight="1">
      <c r="A188" s="1766"/>
      <c r="B188" s="1765"/>
      <c r="C188" s="1764"/>
      <c r="D188" s="1763"/>
      <c r="E188" s="1762"/>
      <c r="F188" s="1761"/>
      <c r="G188" s="1762"/>
      <c r="H188" s="2031" t="s">
        <v>98</v>
      </c>
      <c r="I188" s="1924" t="s">
        <v>194</v>
      </c>
      <c r="J188" s="1923" t="s">
        <v>750</v>
      </c>
      <c r="K188" s="1923"/>
      <c r="L188" s="1937"/>
      <c r="M188" s="1922" t="s">
        <v>194</v>
      </c>
      <c r="N188" s="1923" t="s">
        <v>1568</v>
      </c>
      <c r="O188" s="1923"/>
      <c r="P188" s="1937"/>
      <c r="Q188" s="1922" t="s">
        <v>194</v>
      </c>
      <c r="R188" s="1785" t="s">
        <v>1615</v>
      </c>
      <c r="S188" s="1785"/>
      <c r="T188" s="1785"/>
      <c r="U188" s="1922" t="s">
        <v>194</v>
      </c>
      <c r="V188" s="1785" t="s">
        <v>1614</v>
      </c>
      <c r="W188" s="1785"/>
      <c r="X188" s="1784"/>
      <c r="Y188" s="1878" t="s">
        <v>194</v>
      </c>
      <c r="Z188" s="1738" t="s">
        <v>754</v>
      </c>
      <c r="AA188" s="1913"/>
      <c r="AB188" s="1794"/>
      <c r="AC188" s="1954"/>
      <c r="AD188" s="1954"/>
      <c r="AE188" s="1954"/>
      <c r="AF188" s="1954"/>
      <c r="AG188" s="1735" t="str">
        <f>"22:sisetukbn_code:" &amp; IF(D196="■",1,0)</f>
        <v>22:sisetukbn_code:0</v>
      </c>
      <c r="AI188" s="1735" t="str">
        <f>"22:"&amp;IF(AND(I188="□",M188="□",Q188="□",U188="□",I189="□",M189="□",Q189="□"),"ketu_doctor_code:0",IF(I188="■","ketu_doctor_code:1:ketu_kangos_code:1:ketu_kshoku_code:1:ketu_rryoho_code:1:ketu_sryoho_code:1:ketu_gengo_code:1",
IF(M188="■","ketu_doctor_code:2","ketu_doctor_code:1")
&amp;IF(Q188="■",":ketu_kangos_code:2",":ketu_kangos_code:1")
&amp;IF(U188="■",":ketu_kshoku_code:2",":ketu_kshoku_code:1")
&amp;IF(I189="■",":ketu_rryoho_code:2",":ketu_rryoho_code:1")
&amp;IF(M189="■",":ketu_sryoho_code:2",":ketu_sryoho_code:1")
&amp;IF(Q189="■",":ketu_gengo_code:2",":ketu_gengo_code:1")))</f>
        <v>22:ketu_doctor_code:0</v>
      </c>
    </row>
    <row r="189" spans="1:36" s="1735" customFormat="1" ht="18.75" hidden="1" customHeight="1">
      <c r="A189" s="1766"/>
      <c r="B189" s="1765"/>
      <c r="C189" s="1764"/>
      <c r="D189" s="1763"/>
      <c r="E189" s="1762"/>
      <c r="F189" s="1761"/>
      <c r="G189" s="1762"/>
      <c r="H189" s="2030"/>
      <c r="I189" s="1758" t="s">
        <v>194</v>
      </c>
      <c r="J189" s="1756" t="s">
        <v>1613</v>
      </c>
      <c r="K189" s="1756"/>
      <c r="L189" s="2006"/>
      <c r="M189" s="1757" t="s">
        <v>194</v>
      </c>
      <c r="N189" s="1756" t="s">
        <v>1612</v>
      </c>
      <c r="O189" s="1756"/>
      <c r="P189" s="2006"/>
      <c r="Q189" s="1757" t="s">
        <v>194</v>
      </c>
      <c r="R189" s="1780" t="s">
        <v>1716</v>
      </c>
      <c r="S189" s="1780"/>
      <c r="T189" s="1780"/>
      <c r="U189" s="1780"/>
      <c r="V189" s="1780"/>
      <c r="W189" s="1780"/>
      <c r="X189" s="1779"/>
      <c r="Y189" s="1913"/>
      <c r="Z189" s="1913"/>
      <c r="AA189" s="1913"/>
      <c r="AB189" s="1794"/>
      <c r="AC189" s="1954"/>
      <c r="AD189" s="1954"/>
      <c r="AE189" s="1954"/>
      <c r="AF189" s="1954"/>
    </row>
    <row r="190" spans="1:36" s="1735" customFormat="1" ht="18.75" hidden="1" customHeight="1">
      <c r="A190" s="1766"/>
      <c r="B190" s="1765"/>
      <c r="C190" s="1764"/>
      <c r="D190" s="1763"/>
      <c r="E190" s="1762"/>
      <c r="F190" s="1761"/>
      <c r="G190" s="1762"/>
      <c r="H190" s="2029" t="s">
        <v>99</v>
      </c>
      <c r="I190" s="1773" t="s">
        <v>194</v>
      </c>
      <c r="J190" s="1754" t="s">
        <v>755</v>
      </c>
      <c r="K190" s="1789"/>
      <c r="L190" s="1791"/>
      <c r="M190" s="1772" t="s">
        <v>194</v>
      </c>
      <c r="N190" s="1754" t="s">
        <v>756</v>
      </c>
      <c r="O190" s="1768"/>
      <c r="P190" s="1768"/>
      <c r="Q190" s="1768"/>
      <c r="R190" s="1768"/>
      <c r="S190" s="1768"/>
      <c r="T190" s="1768"/>
      <c r="U190" s="1768"/>
      <c r="V190" s="1768"/>
      <c r="W190" s="1768"/>
      <c r="X190" s="1767"/>
      <c r="Y190" s="1913"/>
      <c r="Z190" s="1913"/>
      <c r="AA190" s="1913"/>
      <c r="AB190" s="1794"/>
      <c r="AC190" s="1954"/>
      <c r="AD190" s="1954"/>
      <c r="AE190" s="1954"/>
      <c r="AF190" s="1954"/>
      <c r="AI190" s="1735" t="str">
        <f>"22:unitcare_code:" &amp; IF(I190="■",1,IF(M190="■",2,0))</f>
        <v>22:unitcare_code:0</v>
      </c>
    </row>
    <row r="191" spans="1:36" s="1735" customFormat="1" ht="18.75" hidden="1" customHeight="1">
      <c r="A191" s="1766"/>
      <c r="B191" s="1765"/>
      <c r="C191" s="1916"/>
      <c r="D191" s="1915"/>
      <c r="E191" s="1762"/>
      <c r="F191" s="1761"/>
      <c r="G191" s="1793"/>
      <c r="H191" s="2002" t="s">
        <v>757</v>
      </c>
      <c r="I191" s="1842" t="s">
        <v>194</v>
      </c>
      <c r="J191" s="1837" t="s">
        <v>758</v>
      </c>
      <c r="K191" s="1841"/>
      <c r="L191" s="1840"/>
      <c r="M191" s="1839" t="s">
        <v>194</v>
      </c>
      <c r="N191" s="1837" t="s">
        <v>759</v>
      </c>
      <c r="O191" s="1841"/>
      <c r="P191" s="2001"/>
      <c r="Q191" s="2001"/>
      <c r="R191" s="2001"/>
      <c r="S191" s="2001"/>
      <c r="T191" s="2001"/>
      <c r="U191" s="2001"/>
      <c r="V191" s="2001"/>
      <c r="W191" s="2001"/>
      <c r="X191" s="2000"/>
      <c r="Y191" s="1914"/>
      <c r="Z191" s="1913"/>
      <c r="AA191" s="1913"/>
      <c r="AB191" s="1794"/>
      <c r="AC191" s="1954"/>
      <c r="AD191" s="1954"/>
      <c r="AE191" s="1954"/>
      <c r="AF191" s="1954"/>
      <c r="AI191" s="1735" t="str">
        <f>"22:sintaikousoku_code:" &amp; IF(I191="■",1,IF(M191="■",2,0))</f>
        <v>22:sintaikousoku_code:0</v>
      </c>
    </row>
    <row r="192" spans="1:36" s="1735" customFormat="1" ht="19.5" hidden="1" customHeight="1">
      <c r="A192" s="1766"/>
      <c r="B192" s="1765"/>
      <c r="C192" s="1764"/>
      <c r="D192" s="1763"/>
      <c r="E192" s="1762"/>
      <c r="F192" s="1761"/>
      <c r="G192" s="1793"/>
      <c r="H192" s="1792" t="s">
        <v>760</v>
      </c>
      <c r="I192" s="1773" t="s">
        <v>194</v>
      </c>
      <c r="J192" s="1754" t="s">
        <v>758</v>
      </c>
      <c r="K192" s="1789"/>
      <c r="L192" s="1791"/>
      <c r="M192" s="1772" t="s">
        <v>194</v>
      </c>
      <c r="N192" s="1754" t="s">
        <v>761</v>
      </c>
      <c r="O192" s="1920"/>
      <c r="P192" s="1754"/>
      <c r="Q192" s="1768"/>
      <c r="R192" s="1768"/>
      <c r="S192" s="1768"/>
      <c r="T192" s="1768"/>
      <c r="U192" s="1768"/>
      <c r="V192" s="1768"/>
      <c r="W192" s="1768"/>
      <c r="X192" s="1767"/>
      <c r="Y192" s="1913"/>
      <c r="Z192" s="1913"/>
      <c r="AA192" s="1913"/>
      <c r="AB192" s="1794"/>
      <c r="AC192" s="1954"/>
      <c r="AD192" s="1954"/>
      <c r="AE192" s="1954"/>
      <c r="AF192" s="1954"/>
      <c r="AI192" s="1735" t="str">
        <f>"22:field223:" &amp; IF(I192="■",1,IF(M192="■",2,0))</f>
        <v>22:field223:0</v>
      </c>
    </row>
    <row r="193" spans="1:36" s="1735" customFormat="1" ht="19.5" hidden="1" customHeight="1">
      <c r="A193" s="1766"/>
      <c r="B193" s="1765"/>
      <c r="C193" s="1764"/>
      <c r="D193" s="1763"/>
      <c r="E193" s="1762"/>
      <c r="F193" s="1761"/>
      <c r="G193" s="1793"/>
      <c r="H193" s="1792" t="s">
        <v>762</v>
      </c>
      <c r="I193" s="1773" t="s">
        <v>194</v>
      </c>
      <c r="J193" s="1754" t="s">
        <v>758</v>
      </c>
      <c r="K193" s="1789"/>
      <c r="L193" s="1791"/>
      <c r="M193" s="1772" t="s">
        <v>194</v>
      </c>
      <c r="N193" s="1754" t="s">
        <v>761</v>
      </c>
      <c r="O193" s="1920"/>
      <c r="P193" s="1754"/>
      <c r="Q193" s="1768"/>
      <c r="R193" s="1768"/>
      <c r="S193" s="1768"/>
      <c r="T193" s="1768"/>
      <c r="U193" s="1768"/>
      <c r="V193" s="1768"/>
      <c r="W193" s="1768"/>
      <c r="X193" s="1767"/>
      <c r="Y193" s="1913"/>
      <c r="Z193" s="1913"/>
      <c r="AA193" s="1913"/>
      <c r="AB193" s="1794"/>
      <c r="AC193" s="1954"/>
      <c r="AD193" s="1954"/>
      <c r="AE193" s="1954"/>
      <c r="AF193" s="1954"/>
      <c r="AI193" s="1735" t="str">
        <f>"22:field232:" &amp; IF(I193="■",1,IF(M193="■",2,0))</f>
        <v>22:field232:0</v>
      </c>
    </row>
    <row r="194" spans="1:36" s="1735" customFormat="1" ht="18.75" hidden="1" customHeight="1">
      <c r="A194" s="1766"/>
      <c r="B194" s="1765"/>
      <c r="C194" s="1764"/>
      <c r="D194" s="1763"/>
      <c r="E194" s="1762"/>
      <c r="F194" s="1761"/>
      <c r="G194" s="1762"/>
      <c r="H194" s="2029" t="s">
        <v>768</v>
      </c>
      <c r="I194" s="1773" t="s">
        <v>194</v>
      </c>
      <c r="J194" s="1754" t="s">
        <v>750</v>
      </c>
      <c r="K194" s="1789"/>
      <c r="L194" s="1772" t="s">
        <v>194</v>
      </c>
      <c r="M194" s="1754" t="s">
        <v>764</v>
      </c>
      <c r="N194" s="1768"/>
      <c r="O194" s="1768"/>
      <c r="P194" s="1768"/>
      <c r="Q194" s="1768"/>
      <c r="R194" s="1768"/>
      <c r="S194" s="1768"/>
      <c r="T194" s="1768"/>
      <c r="U194" s="1768"/>
      <c r="V194" s="1768"/>
      <c r="W194" s="1768"/>
      <c r="X194" s="1767"/>
      <c r="Y194" s="1913"/>
      <c r="Z194" s="1913"/>
      <c r="AA194" s="1913"/>
      <c r="AB194" s="1794"/>
      <c r="AC194" s="1954"/>
      <c r="AD194" s="1954"/>
      <c r="AE194" s="1954"/>
      <c r="AF194" s="1954"/>
      <c r="AI194" s="1735" t="str">
        <f>"22:yakinhaiti_code:" &amp; IF(I194="■",1,IF(L194="■",2,0))</f>
        <v>22:yakinhaiti_code:0</v>
      </c>
    </row>
    <row r="195" spans="1:36" s="1735" customFormat="1" ht="18.75" hidden="1" customHeight="1">
      <c r="A195" s="1766"/>
      <c r="B195" s="1765"/>
      <c r="C195" s="1764"/>
      <c r="D195" s="1763"/>
      <c r="E195" s="1762"/>
      <c r="F195" s="1761"/>
      <c r="G195" s="1762"/>
      <c r="H195" s="2029" t="s">
        <v>1607</v>
      </c>
      <c r="I195" s="1773" t="s">
        <v>194</v>
      </c>
      <c r="J195" s="1754" t="s">
        <v>750</v>
      </c>
      <c r="K195" s="1789"/>
      <c r="L195" s="1772" t="s">
        <v>194</v>
      </c>
      <c r="M195" s="1754" t="s">
        <v>764</v>
      </c>
      <c r="N195" s="1768"/>
      <c r="O195" s="1768"/>
      <c r="P195" s="1768"/>
      <c r="Q195" s="1768"/>
      <c r="R195" s="1768"/>
      <c r="S195" s="1768"/>
      <c r="T195" s="1768"/>
      <c r="U195" s="1768"/>
      <c r="V195" s="1768"/>
      <c r="W195" s="1768"/>
      <c r="X195" s="1767"/>
      <c r="Y195" s="1913"/>
      <c r="Z195" s="1913"/>
      <c r="AA195" s="1913"/>
      <c r="AB195" s="1794"/>
      <c r="AC195" s="1954"/>
      <c r="AD195" s="1954"/>
      <c r="AE195" s="1954"/>
      <c r="AF195" s="1954"/>
      <c r="AI195" s="1735" t="str">
        <f>"22:ninticare_code:" &amp; IF(I195="■",1,IF(L195="■",2,0))</f>
        <v>22:ninticare_code:0</v>
      </c>
    </row>
    <row r="196" spans="1:36" s="1735" customFormat="1" ht="18.75" hidden="1" customHeight="1">
      <c r="A196" s="1776" t="s">
        <v>194</v>
      </c>
      <c r="B196" s="1765">
        <v>22</v>
      </c>
      <c r="C196" s="1764" t="s">
        <v>1668</v>
      </c>
      <c r="D196" s="1878" t="s">
        <v>194</v>
      </c>
      <c r="E196" s="1762" t="s">
        <v>1729</v>
      </c>
      <c r="F196" s="1878" t="s">
        <v>194</v>
      </c>
      <c r="G196" s="1762" t="s">
        <v>1632</v>
      </c>
      <c r="H196" s="2029" t="s">
        <v>1498</v>
      </c>
      <c r="I196" s="1773" t="s">
        <v>194</v>
      </c>
      <c r="J196" s="1754" t="s">
        <v>750</v>
      </c>
      <c r="K196" s="1789"/>
      <c r="L196" s="1772" t="s">
        <v>194</v>
      </c>
      <c r="M196" s="1754" t="s">
        <v>764</v>
      </c>
      <c r="N196" s="1768"/>
      <c r="O196" s="1768"/>
      <c r="P196" s="1768"/>
      <c r="Q196" s="1768"/>
      <c r="R196" s="1768"/>
      <c r="S196" s="1768"/>
      <c r="T196" s="1768"/>
      <c r="U196" s="1768"/>
      <c r="V196" s="1768"/>
      <c r="W196" s="1768"/>
      <c r="X196" s="1767"/>
      <c r="Y196" s="1913"/>
      <c r="Z196" s="1913"/>
      <c r="AA196" s="1913"/>
      <c r="AB196" s="1794"/>
      <c r="AC196" s="1954"/>
      <c r="AD196" s="1954"/>
      <c r="AE196" s="1954"/>
      <c r="AF196" s="1954"/>
      <c r="AI196" s="1735" t="str">
        <f>"22:jyakuninti_uke_code:" &amp; IF(I196="■",1,IF(L196="■",2,0))</f>
        <v>22:jyakuninti_uke_code:0</v>
      </c>
    </row>
    <row r="197" spans="1:36" s="1735" customFormat="1" ht="18.75" hidden="1" customHeight="1">
      <c r="A197" s="1766"/>
      <c r="B197" s="1765"/>
      <c r="C197" s="1764"/>
      <c r="D197" s="1763"/>
      <c r="E197" s="1762"/>
      <c r="F197" s="1878" t="s">
        <v>194</v>
      </c>
      <c r="G197" s="1762" t="s">
        <v>1630</v>
      </c>
      <c r="H197" s="2029" t="s">
        <v>1631</v>
      </c>
      <c r="I197" s="1773" t="s">
        <v>194</v>
      </c>
      <c r="J197" s="1754" t="s">
        <v>750</v>
      </c>
      <c r="K197" s="1754"/>
      <c r="L197" s="1772" t="s">
        <v>194</v>
      </c>
      <c r="M197" s="1754" t="s">
        <v>784</v>
      </c>
      <c r="N197" s="1754"/>
      <c r="O197" s="1772" t="s">
        <v>194</v>
      </c>
      <c r="P197" s="1754" t="s">
        <v>785</v>
      </c>
      <c r="Q197" s="1768"/>
      <c r="R197" s="1768"/>
      <c r="S197" s="1768"/>
      <c r="T197" s="1768"/>
      <c r="U197" s="1768"/>
      <c r="V197" s="1768"/>
      <c r="W197" s="1768"/>
      <c r="X197" s="1767"/>
      <c r="Y197" s="1913"/>
      <c r="Z197" s="1913"/>
      <c r="AA197" s="1913"/>
      <c r="AB197" s="1794"/>
      <c r="AC197" s="1954"/>
      <c r="AD197" s="1954"/>
      <c r="AE197" s="1954"/>
      <c r="AF197" s="1954"/>
      <c r="AI197" s="1735" t="str">
        <f>"22:zaitaku_hukki_code:" &amp; IF(I197="■",1,IF(L197="■",2,IF(O197="■",3,0)))</f>
        <v>22:zaitaku_hukki_code:0</v>
      </c>
    </row>
    <row r="198" spans="1:36" s="1735" customFormat="1" ht="18.75" hidden="1" customHeight="1">
      <c r="A198" s="1766"/>
      <c r="B198" s="1765"/>
      <c r="C198" s="1764"/>
      <c r="D198" s="1763"/>
      <c r="E198" s="1762"/>
      <c r="F198" s="1761"/>
      <c r="G198" s="1762"/>
      <c r="H198" s="2029" t="s">
        <v>1666</v>
      </c>
      <c r="I198" s="1773" t="s">
        <v>194</v>
      </c>
      <c r="J198" s="1754" t="s">
        <v>755</v>
      </c>
      <c r="K198" s="1789"/>
      <c r="L198" s="1791"/>
      <c r="M198" s="1772" t="s">
        <v>194</v>
      </c>
      <c r="N198" s="1754" t="s">
        <v>756</v>
      </c>
      <c r="O198" s="1768"/>
      <c r="P198" s="1768"/>
      <c r="Q198" s="1768"/>
      <c r="R198" s="1768"/>
      <c r="S198" s="1768"/>
      <c r="T198" s="1768"/>
      <c r="U198" s="1768"/>
      <c r="V198" s="1768"/>
      <c r="W198" s="1768"/>
      <c r="X198" s="1767"/>
      <c r="Y198" s="1913"/>
      <c r="Z198" s="1913"/>
      <c r="AA198" s="1913"/>
      <c r="AB198" s="1794"/>
      <c r="AC198" s="1954"/>
      <c r="AD198" s="1954"/>
      <c r="AE198" s="1954"/>
      <c r="AF198" s="1954"/>
      <c r="AI198" s="1735" t="str">
        <f>"22:sougei_code:" &amp; IF(I198="■",1,IF(M198="■",2,0))</f>
        <v>22:sougei_code:0</v>
      </c>
    </row>
    <row r="199" spans="1:36" s="1735" customFormat="1" ht="19.5" hidden="1" customHeight="1">
      <c r="A199" s="1766"/>
      <c r="B199" s="1765"/>
      <c r="C199" s="1764"/>
      <c r="D199" s="1763"/>
      <c r="E199" s="1762"/>
      <c r="F199" s="1761"/>
      <c r="G199" s="1762"/>
      <c r="H199" s="1792" t="s">
        <v>1516</v>
      </c>
      <c r="I199" s="1773" t="s">
        <v>194</v>
      </c>
      <c r="J199" s="1754" t="s">
        <v>750</v>
      </c>
      <c r="K199" s="1754"/>
      <c r="L199" s="1772" t="s">
        <v>194</v>
      </c>
      <c r="M199" s="1754" t="s">
        <v>764</v>
      </c>
      <c r="N199" s="1754"/>
      <c r="O199" s="1768"/>
      <c r="P199" s="1754"/>
      <c r="Q199" s="1768"/>
      <c r="R199" s="1768"/>
      <c r="S199" s="1768"/>
      <c r="T199" s="1768"/>
      <c r="U199" s="1768"/>
      <c r="V199" s="1768"/>
      <c r="W199" s="1768"/>
      <c r="X199" s="1767"/>
      <c r="Y199" s="1913"/>
      <c r="Z199" s="1913"/>
      <c r="AA199" s="1913"/>
      <c r="AB199" s="1794"/>
      <c r="AC199" s="1954"/>
      <c r="AD199" s="1954"/>
      <c r="AE199" s="1954"/>
      <c r="AF199" s="1954"/>
      <c r="AI199" s="1735" t="str">
        <f>"22:field224:" &amp; IF(I199="■",1,IF(L199="■",2,0))</f>
        <v>22:field224:0</v>
      </c>
    </row>
    <row r="200" spans="1:36" s="1735" customFormat="1" ht="18.75" hidden="1" customHeight="1">
      <c r="A200" s="1766"/>
      <c r="B200" s="1765"/>
      <c r="C200" s="1764"/>
      <c r="D200" s="1763"/>
      <c r="E200" s="1762"/>
      <c r="F200" s="1761"/>
      <c r="G200" s="1762"/>
      <c r="H200" s="2029" t="s">
        <v>787</v>
      </c>
      <c r="I200" s="1773" t="s">
        <v>194</v>
      </c>
      <c r="J200" s="1754" t="s">
        <v>750</v>
      </c>
      <c r="K200" s="1789"/>
      <c r="L200" s="1772" t="s">
        <v>194</v>
      </c>
      <c r="M200" s="1754" t="s">
        <v>764</v>
      </c>
      <c r="N200" s="1768"/>
      <c r="O200" s="1768"/>
      <c r="P200" s="1768"/>
      <c r="Q200" s="1768"/>
      <c r="R200" s="1768"/>
      <c r="S200" s="1768"/>
      <c r="T200" s="1768"/>
      <c r="U200" s="1768"/>
      <c r="V200" s="1768"/>
      <c r="W200" s="1768"/>
      <c r="X200" s="1767"/>
      <c r="Y200" s="1913"/>
      <c r="Z200" s="1913"/>
      <c r="AA200" s="1913"/>
      <c r="AB200" s="1794"/>
      <c r="AC200" s="1954"/>
      <c r="AD200" s="1954"/>
      <c r="AE200" s="1954"/>
      <c r="AF200" s="1954"/>
      <c r="AI200" s="1735" t="str">
        <f>"22:ryouyoushoku_code:" &amp; IF(I200="■",1,IF(L200="■",2,0))</f>
        <v>22:ryouyoushoku_code:0</v>
      </c>
    </row>
    <row r="201" spans="1:36" s="1735" customFormat="1" ht="18.75" hidden="1" customHeight="1">
      <c r="A201" s="1766"/>
      <c r="B201" s="1765"/>
      <c r="C201" s="1764"/>
      <c r="D201" s="1763"/>
      <c r="E201" s="1762"/>
      <c r="F201" s="1761"/>
      <c r="G201" s="1762"/>
      <c r="H201" s="2029" t="s">
        <v>1681</v>
      </c>
      <c r="I201" s="1773" t="s">
        <v>194</v>
      </c>
      <c r="J201" s="1754" t="s">
        <v>750</v>
      </c>
      <c r="K201" s="1754"/>
      <c r="L201" s="1772" t="s">
        <v>194</v>
      </c>
      <c r="M201" s="1754" t="s">
        <v>784</v>
      </c>
      <c r="N201" s="1754"/>
      <c r="O201" s="1772" t="s">
        <v>194</v>
      </c>
      <c r="P201" s="1754" t="s">
        <v>785</v>
      </c>
      <c r="Q201" s="1768"/>
      <c r="R201" s="1768"/>
      <c r="S201" s="1768"/>
      <c r="T201" s="1768"/>
      <c r="U201" s="1768"/>
      <c r="V201" s="1768"/>
      <c r="W201" s="1768"/>
      <c r="X201" s="1767"/>
      <c r="Y201" s="1913"/>
      <c r="Z201" s="1913"/>
      <c r="AA201" s="1913"/>
      <c r="AB201" s="1794"/>
      <c r="AC201" s="1954"/>
      <c r="AD201" s="1954"/>
      <c r="AE201" s="1954"/>
      <c r="AF201" s="1954"/>
      <c r="AI201" s="1735" t="str">
        <f>"22:ninti_senmoncare_code:" &amp; IF(I201="■",1,IF(O201="■",3,IF(L201="■",2,0)))</f>
        <v>22:ninti_senmoncare_code:0</v>
      </c>
    </row>
    <row r="202" spans="1:36" s="1735" customFormat="1" ht="18.75" hidden="1" customHeight="1">
      <c r="A202" s="1766"/>
      <c r="B202" s="1765"/>
      <c r="C202" s="1764"/>
      <c r="D202" s="1763"/>
      <c r="E202" s="1762"/>
      <c r="F202" s="1761"/>
      <c r="G202" s="1762"/>
      <c r="H202" s="1917" t="s">
        <v>794</v>
      </c>
      <c r="I202" s="1773" t="s">
        <v>194</v>
      </c>
      <c r="J202" s="1754" t="s">
        <v>750</v>
      </c>
      <c r="K202" s="1754"/>
      <c r="L202" s="1772" t="s">
        <v>194</v>
      </c>
      <c r="M202" s="1754" t="s">
        <v>784</v>
      </c>
      <c r="N202" s="1754"/>
      <c r="O202" s="1772" t="s">
        <v>194</v>
      </c>
      <c r="P202" s="1754" t="s">
        <v>785</v>
      </c>
      <c r="Q202" s="1768"/>
      <c r="R202" s="1768"/>
      <c r="S202" s="1768"/>
      <c r="T202" s="1768"/>
      <c r="U202" s="1829"/>
      <c r="V202" s="1829"/>
      <c r="W202" s="1829"/>
      <c r="X202" s="1828"/>
      <c r="Y202" s="1913"/>
      <c r="Z202" s="1913"/>
      <c r="AA202" s="1913"/>
      <c r="AB202" s="1794"/>
      <c r="AC202" s="1954"/>
      <c r="AD202" s="1954"/>
      <c r="AE202" s="1954"/>
      <c r="AF202" s="1954"/>
      <c r="AI202" s="1735" t="str">
        <f>"22:field225:" &amp; IF(I202="■",1,IF(L202="■",2,IF(O202="■",3,0)))</f>
        <v>22:field225:0</v>
      </c>
    </row>
    <row r="203" spans="1:36" s="1735" customFormat="1" ht="18.75" hidden="1" customHeight="1">
      <c r="A203" s="1766"/>
      <c r="B203" s="1765"/>
      <c r="C203" s="1764"/>
      <c r="D203" s="1763"/>
      <c r="E203" s="1762"/>
      <c r="F203" s="1761"/>
      <c r="G203" s="1762"/>
      <c r="H203" s="2028" t="s">
        <v>795</v>
      </c>
      <c r="I203" s="1773" t="s">
        <v>194</v>
      </c>
      <c r="J203" s="1754" t="s">
        <v>750</v>
      </c>
      <c r="K203" s="1754"/>
      <c r="L203" s="1772" t="s">
        <v>194</v>
      </c>
      <c r="M203" s="1754" t="s">
        <v>796</v>
      </c>
      <c r="N203" s="1754"/>
      <c r="O203" s="1772" t="s">
        <v>194</v>
      </c>
      <c r="P203" s="1754" t="s">
        <v>797</v>
      </c>
      <c r="Q203" s="1771"/>
      <c r="R203" s="1772" t="s">
        <v>194</v>
      </c>
      <c r="S203" s="1754" t="s">
        <v>798</v>
      </c>
      <c r="T203" s="1771"/>
      <c r="U203" s="1771"/>
      <c r="V203" s="1771"/>
      <c r="W203" s="1771"/>
      <c r="X203" s="1770"/>
      <c r="Y203" s="1913"/>
      <c r="Z203" s="1913"/>
      <c r="AA203" s="1913"/>
      <c r="AB203" s="1794"/>
      <c r="AC203" s="1954"/>
      <c r="AD203" s="1954"/>
      <c r="AE203" s="1954"/>
      <c r="AF203" s="1954"/>
      <c r="AI203" s="1735" t="str">
        <f>"22:serteikyo_kyoka_code:" &amp; IF(I203="■",1,IF(L203="■",6,IF(O203="■",5,IF(R203="■",7,0))))</f>
        <v>22:serteikyo_kyoka_code:0</v>
      </c>
    </row>
    <row r="204" spans="1:36" s="1735" customFormat="1" ht="18.75" hidden="1" customHeight="1">
      <c r="A204" s="1766"/>
      <c r="B204" s="1765"/>
      <c r="C204" s="1764"/>
      <c r="D204" s="1763"/>
      <c r="E204" s="1762"/>
      <c r="F204" s="1761"/>
      <c r="G204" s="1762"/>
      <c r="H204" s="1788" t="s">
        <v>1665</v>
      </c>
      <c r="I204" s="1969" t="s">
        <v>194</v>
      </c>
      <c r="J204" s="1968" t="s">
        <v>750</v>
      </c>
      <c r="K204" s="1968"/>
      <c r="L204" s="1967" t="s">
        <v>194</v>
      </c>
      <c r="M204" s="1968" t="s">
        <v>764</v>
      </c>
      <c r="N204" s="1968"/>
      <c r="O204" s="1923"/>
      <c r="P204" s="1923"/>
      <c r="Q204" s="1923"/>
      <c r="R204" s="1923"/>
      <c r="S204" s="1923"/>
      <c r="T204" s="1923"/>
      <c r="U204" s="1923"/>
      <c r="V204" s="1923"/>
      <c r="W204" s="1923"/>
      <c r="X204" s="1956"/>
      <c r="Y204" s="1913"/>
      <c r="Z204" s="1913"/>
      <c r="AA204" s="1913"/>
      <c r="AB204" s="1794"/>
      <c r="AC204" s="1954"/>
      <c r="AD204" s="1954"/>
      <c r="AE204" s="1954"/>
      <c r="AF204" s="1954"/>
      <c r="AI204" s="1735" t="str">
        <f>"22:field221:" &amp; IF(I204="■",1,IF(L204="■",2,0))</f>
        <v>22:field221:0</v>
      </c>
    </row>
    <row r="205" spans="1:36" s="1735" customFormat="1" ht="18.75" hidden="1" customHeight="1">
      <c r="A205" s="1766"/>
      <c r="B205" s="1765"/>
      <c r="C205" s="1764"/>
      <c r="D205" s="1763"/>
      <c r="E205" s="1762"/>
      <c r="F205" s="1761"/>
      <c r="G205" s="1762"/>
      <c r="H205" s="1783"/>
      <c r="I205" s="1969"/>
      <c r="J205" s="1968"/>
      <c r="K205" s="1968"/>
      <c r="L205" s="1967"/>
      <c r="M205" s="1968"/>
      <c r="N205" s="1968"/>
      <c r="O205" s="1756"/>
      <c r="P205" s="1756"/>
      <c r="Q205" s="1756"/>
      <c r="R205" s="1756"/>
      <c r="S205" s="1756"/>
      <c r="T205" s="1756"/>
      <c r="U205" s="1756"/>
      <c r="V205" s="1756"/>
      <c r="W205" s="1756"/>
      <c r="X205" s="1814"/>
      <c r="Y205" s="1913"/>
      <c r="Z205" s="1913"/>
      <c r="AA205" s="1913"/>
      <c r="AB205" s="1794"/>
      <c r="AC205" s="1954"/>
      <c r="AD205" s="1954"/>
      <c r="AE205" s="1954"/>
      <c r="AF205" s="1954"/>
    </row>
    <row r="206" spans="1:36" s="1735" customFormat="1" ht="18.75" hidden="1" customHeight="1">
      <c r="A206" s="1752"/>
      <c r="B206" s="1751"/>
      <c r="C206" s="1750"/>
      <c r="D206" s="1749"/>
      <c r="E206" s="1748"/>
      <c r="F206" s="1747"/>
      <c r="G206" s="1808"/>
      <c r="H206" s="1909" t="s">
        <v>1553</v>
      </c>
      <c r="I206" s="1744" t="s">
        <v>194</v>
      </c>
      <c r="J206" s="1905" t="s">
        <v>750</v>
      </c>
      <c r="K206" s="1905"/>
      <c r="L206" s="1743" t="s">
        <v>194</v>
      </c>
      <c r="M206" s="1905" t="s">
        <v>1552</v>
      </c>
      <c r="N206" s="1908"/>
      <c r="O206" s="1743" t="s">
        <v>194</v>
      </c>
      <c r="P206" s="1907" t="s">
        <v>1551</v>
      </c>
      <c r="Q206" s="1906"/>
      <c r="R206" s="1743" t="s">
        <v>194</v>
      </c>
      <c r="S206" s="1905" t="s">
        <v>1550</v>
      </c>
      <c r="T206" s="1906"/>
      <c r="U206" s="1743" t="s">
        <v>194</v>
      </c>
      <c r="V206" s="1905" t="s">
        <v>1549</v>
      </c>
      <c r="W206" s="1904"/>
      <c r="X206" s="1903"/>
      <c r="Y206" s="1902"/>
      <c r="Z206" s="1902"/>
      <c r="AA206" s="1902"/>
      <c r="AB206" s="1901"/>
      <c r="AC206" s="1953"/>
      <c r="AD206" s="1953"/>
      <c r="AE206" s="1953"/>
      <c r="AF206" s="1953"/>
      <c r="AI206" s="1735" t="str">
        <f>"22:shoguukaizen_code:"&amp;IF(I206="■",1,IF(L206="■",7,IF(O206="■",8,IF(R206="■",9,IF(U206="■","A",0)))))</f>
        <v>22:shoguukaizen_code:0</v>
      </c>
    </row>
    <row r="207" spans="1:36" s="1735" customFormat="1" ht="18.75" hidden="1" customHeight="1">
      <c r="A207" s="1807"/>
      <c r="B207" s="1806"/>
      <c r="C207" s="1849"/>
      <c r="D207" s="1848"/>
      <c r="E207" s="1804"/>
      <c r="F207" s="1803"/>
      <c r="G207" s="1804"/>
      <c r="H207" s="1801" t="s">
        <v>746</v>
      </c>
      <c r="I207" s="1800" t="s">
        <v>194</v>
      </c>
      <c r="J207" s="1799" t="s">
        <v>747</v>
      </c>
      <c r="K207" s="1846"/>
      <c r="L207" s="1845"/>
      <c r="M207" s="1798" t="s">
        <v>194</v>
      </c>
      <c r="N207" s="1799" t="s">
        <v>748</v>
      </c>
      <c r="O207" s="1796"/>
      <c r="P207" s="1796"/>
      <c r="Q207" s="1796"/>
      <c r="R207" s="1796"/>
      <c r="S207" s="1796"/>
      <c r="T207" s="1796"/>
      <c r="U207" s="1796"/>
      <c r="V207" s="1796"/>
      <c r="W207" s="1796"/>
      <c r="X207" s="1795"/>
      <c r="Y207" s="1931" t="s">
        <v>194</v>
      </c>
      <c r="Z207" s="1872" t="s">
        <v>749</v>
      </c>
      <c r="AA207" s="1872"/>
      <c r="AB207" s="1929"/>
      <c r="AC207" s="1959"/>
      <c r="AD207" s="1959"/>
      <c r="AE207" s="1959"/>
      <c r="AF207" s="1959"/>
      <c r="AG207" s="1735" t="str">
        <f>"ser_code = '" &amp; IF(A218="■",22,"") &amp; "'"</f>
        <v>ser_code = ''</v>
      </c>
      <c r="AI207" s="1735" t="str">
        <f>"22:yakan_kinmu_code:" &amp; IF(I207="■",1,IF(M207="■",6,0))</f>
        <v>22:yakan_kinmu_code:0</v>
      </c>
      <c r="AJ207" s="1735" t="str">
        <f>"22:field203:" &amp; IF(Y207="■",1,IF(Y208="■",2,0))</f>
        <v>22:field203:0</v>
      </c>
    </row>
    <row r="208" spans="1:36" s="1735" customFormat="1" ht="18.75" hidden="1" customHeight="1">
      <c r="A208" s="1766"/>
      <c r="B208" s="1765"/>
      <c r="C208" s="1764"/>
      <c r="D208" s="1763"/>
      <c r="E208" s="1762"/>
      <c r="F208" s="1761"/>
      <c r="G208" s="1762"/>
      <c r="H208" s="1925" t="s">
        <v>1717</v>
      </c>
      <c r="I208" s="1924" t="s">
        <v>194</v>
      </c>
      <c r="J208" s="1923" t="s">
        <v>750</v>
      </c>
      <c r="K208" s="1923"/>
      <c r="L208" s="1937"/>
      <c r="M208" s="1922" t="s">
        <v>194</v>
      </c>
      <c r="N208" s="1923" t="s">
        <v>1568</v>
      </c>
      <c r="O208" s="1923"/>
      <c r="P208" s="1937"/>
      <c r="Q208" s="1922" t="s">
        <v>194</v>
      </c>
      <c r="R208" s="1785" t="s">
        <v>1615</v>
      </c>
      <c r="S208" s="1785"/>
      <c r="T208" s="1785"/>
      <c r="U208" s="1922" t="s">
        <v>194</v>
      </c>
      <c r="V208" s="1785" t="s">
        <v>1614</v>
      </c>
      <c r="W208" s="1785"/>
      <c r="X208" s="1784"/>
      <c r="Y208" s="1878" t="s">
        <v>194</v>
      </c>
      <c r="Z208" s="1738" t="s">
        <v>754</v>
      </c>
      <c r="AA208" s="1913"/>
      <c r="AB208" s="1794"/>
      <c r="AC208" s="1954"/>
      <c r="AD208" s="1954"/>
      <c r="AE208" s="1954"/>
      <c r="AF208" s="1954"/>
      <c r="AG208" s="1735" t="str">
        <f>"22:sisetukbn_code:" &amp; IF(D217="■",5,IF(D218="■",7,0))</f>
        <v>22:sisetukbn_code:0</v>
      </c>
      <c r="AI208" s="1735" t="str">
        <f>"22:"&amp;IF(AND(I208="□",M208="□",Q208="□",U208="□",I209="□",M209="□",Q209="□"),"ketu_doctor_code:0",IF(I208="■","ketu_doctor_code:1:ketu_kangos_code:1:ketu_kshoku_code:1:ketu_rryoho_code:1:ketu_sryoho_code:1:ketu_gengo_code:1",
IF(M208="■","ketu_doctor_code:2","ketu_doctor_code:1")
&amp;IF(Q208="■",":ketu_kangos_code:2",":ketu_kangos_code:1")
&amp;IF(U208="■",":ketu_kshoku_code:2",":ketu_kshoku_code:1")
&amp;IF(I209="■",":ketu_rryoho_code:2",":ketu_rryoho_code:1")
&amp;IF(M209="■",":ketu_sryoho_code:2",":ketu_sryoho_code:1")
&amp;IF(Q209="■",":ketu_gengo_code:2",":ketu_gengo_code:1")))</f>
        <v>22:ketu_doctor_code:0</v>
      </c>
    </row>
    <row r="209" spans="1:35" s="1735" customFormat="1" ht="18.75" hidden="1" customHeight="1">
      <c r="A209" s="1766"/>
      <c r="B209" s="1765"/>
      <c r="C209" s="1764"/>
      <c r="D209" s="1763"/>
      <c r="E209" s="1762"/>
      <c r="F209" s="1761"/>
      <c r="G209" s="1762"/>
      <c r="H209" s="1921"/>
      <c r="I209" s="1758" t="s">
        <v>194</v>
      </c>
      <c r="J209" s="1756" t="s">
        <v>1613</v>
      </c>
      <c r="K209" s="1756"/>
      <c r="L209" s="2006"/>
      <c r="M209" s="1757" t="s">
        <v>194</v>
      </c>
      <c r="N209" s="1756" t="s">
        <v>1612</v>
      </c>
      <c r="O209" s="1756"/>
      <c r="P209" s="2006"/>
      <c r="Q209" s="1757" t="s">
        <v>194</v>
      </c>
      <c r="R209" s="1780" t="s">
        <v>1716</v>
      </c>
      <c r="S209" s="1780"/>
      <c r="T209" s="1780"/>
      <c r="U209" s="1780"/>
      <c r="V209" s="1780"/>
      <c r="W209" s="1780"/>
      <c r="X209" s="1779"/>
      <c r="Y209" s="1914"/>
      <c r="Z209" s="1913"/>
      <c r="AA209" s="1913"/>
      <c r="AB209" s="1794"/>
      <c r="AC209" s="1954"/>
      <c r="AD209" s="1954"/>
      <c r="AE209" s="1954"/>
      <c r="AF209" s="1954"/>
    </row>
    <row r="210" spans="1:35" s="1735" customFormat="1" ht="18.75" hidden="1" customHeight="1">
      <c r="A210" s="1766"/>
      <c r="B210" s="1765"/>
      <c r="C210" s="1764"/>
      <c r="D210" s="1763"/>
      <c r="E210" s="1762"/>
      <c r="F210" s="1761"/>
      <c r="G210" s="1762"/>
      <c r="H210" s="1769" t="s">
        <v>99</v>
      </c>
      <c r="I210" s="1773" t="s">
        <v>194</v>
      </c>
      <c r="J210" s="1754" t="s">
        <v>755</v>
      </c>
      <c r="K210" s="1789"/>
      <c r="L210" s="1791"/>
      <c r="M210" s="1772" t="s">
        <v>194</v>
      </c>
      <c r="N210" s="1754" t="s">
        <v>756</v>
      </c>
      <c r="O210" s="1768"/>
      <c r="P210" s="1768"/>
      <c r="Q210" s="1768"/>
      <c r="R210" s="1768"/>
      <c r="S210" s="1768"/>
      <c r="T210" s="1768"/>
      <c r="U210" s="1768"/>
      <c r="V210" s="1768"/>
      <c r="W210" s="1768"/>
      <c r="X210" s="1767"/>
      <c r="Y210" s="1914"/>
      <c r="Z210" s="1913"/>
      <c r="AA210" s="1913"/>
      <c r="AB210" s="1794"/>
      <c r="AC210" s="1954"/>
      <c r="AD210" s="1954"/>
      <c r="AE210" s="1954"/>
      <c r="AF210" s="1954"/>
      <c r="AI210" s="1735" t="str">
        <f>"22:unitcare_code:" &amp; IF(I210="■",1,IF(M210="■",2,0))</f>
        <v>22:unitcare_code:0</v>
      </c>
    </row>
    <row r="211" spans="1:35" s="1735" customFormat="1" ht="18.75" hidden="1" customHeight="1">
      <c r="A211" s="1766"/>
      <c r="B211" s="1765"/>
      <c r="C211" s="1916"/>
      <c r="D211" s="1915"/>
      <c r="E211" s="1762"/>
      <c r="F211" s="1761"/>
      <c r="G211" s="1793"/>
      <c r="H211" s="2002" t="s">
        <v>757</v>
      </c>
      <c r="I211" s="1842" t="s">
        <v>194</v>
      </c>
      <c r="J211" s="1837" t="s">
        <v>758</v>
      </c>
      <c r="K211" s="1841"/>
      <c r="L211" s="1840"/>
      <c r="M211" s="1839" t="s">
        <v>194</v>
      </c>
      <c r="N211" s="1837" t="s">
        <v>759</v>
      </c>
      <c r="O211" s="1841"/>
      <c r="P211" s="2001"/>
      <c r="Q211" s="2001"/>
      <c r="R211" s="2001"/>
      <c r="S211" s="2001"/>
      <c r="T211" s="2001"/>
      <c r="U211" s="2001"/>
      <c r="V211" s="2001"/>
      <c r="W211" s="2001"/>
      <c r="X211" s="2000"/>
      <c r="Y211" s="1914"/>
      <c r="Z211" s="1913"/>
      <c r="AA211" s="1913"/>
      <c r="AB211" s="1794"/>
      <c r="AC211" s="1954"/>
      <c r="AD211" s="1954"/>
      <c r="AE211" s="1954"/>
      <c r="AF211" s="1954"/>
      <c r="AI211" s="1735" t="str">
        <f>"22:sintaikousoku_code:" &amp; IF(I211="■",1,IF(M211="■",2,0))</f>
        <v>22:sintaikousoku_code:0</v>
      </c>
    </row>
    <row r="212" spans="1:35" s="1735" customFormat="1" ht="19.5" hidden="1" customHeight="1">
      <c r="A212" s="1766"/>
      <c r="B212" s="1765"/>
      <c r="C212" s="1764"/>
      <c r="D212" s="1763"/>
      <c r="E212" s="1762"/>
      <c r="F212" s="1761"/>
      <c r="G212" s="1793"/>
      <c r="H212" s="1792" t="s">
        <v>760</v>
      </c>
      <c r="I212" s="1773" t="s">
        <v>194</v>
      </c>
      <c r="J212" s="1754" t="s">
        <v>758</v>
      </c>
      <c r="K212" s="1789"/>
      <c r="L212" s="1791"/>
      <c r="M212" s="1772" t="s">
        <v>194</v>
      </c>
      <c r="N212" s="1754" t="s">
        <v>761</v>
      </c>
      <c r="O212" s="1920"/>
      <c r="P212" s="1754"/>
      <c r="Q212" s="1768"/>
      <c r="R212" s="1768"/>
      <c r="S212" s="1768"/>
      <c r="T212" s="1768"/>
      <c r="U212" s="1768"/>
      <c r="V212" s="1768"/>
      <c r="W212" s="1768"/>
      <c r="X212" s="1767"/>
      <c r="Y212" s="1913"/>
      <c r="Z212" s="1913"/>
      <c r="AA212" s="1913"/>
      <c r="AB212" s="1794"/>
      <c r="AC212" s="1954"/>
      <c r="AD212" s="1954"/>
      <c r="AE212" s="1954"/>
      <c r="AF212" s="1954"/>
      <c r="AI212" s="1735" t="str">
        <f>"22:field223:" &amp; IF(I212="■",1,IF(M212="■",2,0))</f>
        <v>22:field223:0</v>
      </c>
    </row>
    <row r="213" spans="1:35" s="1735" customFormat="1" ht="19.5" hidden="1" customHeight="1">
      <c r="A213" s="1766"/>
      <c r="B213" s="1765"/>
      <c r="C213" s="1764"/>
      <c r="D213" s="1763"/>
      <c r="E213" s="1762"/>
      <c r="F213" s="1761"/>
      <c r="G213" s="1793"/>
      <c r="H213" s="1792" t="s">
        <v>762</v>
      </c>
      <c r="I213" s="1773" t="s">
        <v>194</v>
      </c>
      <c r="J213" s="1754" t="s">
        <v>758</v>
      </c>
      <c r="K213" s="1789"/>
      <c r="L213" s="1791"/>
      <c r="M213" s="1772" t="s">
        <v>194</v>
      </c>
      <c r="N213" s="1754" t="s">
        <v>761</v>
      </c>
      <c r="O213" s="1920"/>
      <c r="P213" s="1754"/>
      <c r="Q213" s="1768"/>
      <c r="R213" s="1768"/>
      <c r="S213" s="1768"/>
      <c r="T213" s="1768"/>
      <c r="U213" s="1768"/>
      <c r="V213" s="1768"/>
      <c r="W213" s="1768"/>
      <c r="X213" s="1767"/>
      <c r="Y213" s="1913"/>
      <c r="Z213" s="1913"/>
      <c r="AA213" s="1913"/>
      <c r="AB213" s="1794"/>
      <c r="AC213" s="1954"/>
      <c r="AD213" s="1954"/>
      <c r="AE213" s="1954"/>
      <c r="AF213" s="1954"/>
      <c r="AI213" s="1735" t="str">
        <f>"22:field232:" &amp; IF(I213="■",1,IF(M213="■",2,0))</f>
        <v>22:field232:0</v>
      </c>
    </row>
    <row r="214" spans="1:35" s="835" customFormat="1" ht="19.5" hidden="1" customHeight="1">
      <c r="A214" s="338"/>
      <c r="B214" s="833"/>
      <c r="C214" s="341"/>
      <c r="D214" s="834"/>
      <c r="E214" s="836"/>
      <c r="F214" s="832"/>
      <c r="G214" s="385"/>
      <c r="H214" s="1945" t="s">
        <v>1597</v>
      </c>
      <c r="I214" s="1773" t="s">
        <v>194</v>
      </c>
      <c r="J214" s="1941" t="s">
        <v>1595</v>
      </c>
      <c r="K214" s="1944"/>
      <c r="L214" s="1943"/>
      <c r="M214" s="1772" t="s">
        <v>194</v>
      </c>
      <c r="N214" s="1941" t="s">
        <v>1594</v>
      </c>
      <c r="O214" s="1942"/>
      <c r="P214" s="1941"/>
      <c r="Q214" s="1940"/>
      <c r="R214" s="1940"/>
      <c r="S214" s="1940"/>
      <c r="T214" s="1940"/>
      <c r="U214" s="1940"/>
      <c r="V214" s="1940"/>
      <c r="W214" s="1940"/>
      <c r="X214" s="1939"/>
      <c r="Y214" s="557"/>
      <c r="Z214" s="2"/>
      <c r="AA214" s="837"/>
      <c r="AB214" s="339"/>
      <c r="AC214" s="1954"/>
      <c r="AD214" s="1954"/>
      <c r="AE214" s="1954"/>
      <c r="AF214" s="1954"/>
      <c r="AI214" s="1735" t="str">
        <f>"22:field242:" &amp; IF(I214="■",1,IF(M214="■",2,0))</f>
        <v>22:field242:0</v>
      </c>
    </row>
    <row r="215" spans="1:35" s="1735" customFormat="1" ht="18.75" hidden="1" customHeight="1">
      <c r="A215" s="1766"/>
      <c r="B215" s="1765"/>
      <c r="C215" s="1764"/>
      <c r="D215" s="1763"/>
      <c r="E215" s="1762"/>
      <c r="F215" s="1761"/>
      <c r="G215" s="1762"/>
      <c r="H215" s="1769" t="s">
        <v>768</v>
      </c>
      <c r="I215" s="1773" t="s">
        <v>194</v>
      </c>
      <c r="J215" s="1754" t="s">
        <v>750</v>
      </c>
      <c r="K215" s="1789"/>
      <c r="L215" s="1772" t="s">
        <v>194</v>
      </c>
      <c r="M215" s="1754" t="s">
        <v>764</v>
      </c>
      <c r="N215" s="1768"/>
      <c r="O215" s="1768"/>
      <c r="P215" s="1768"/>
      <c r="Q215" s="1768"/>
      <c r="R215" s="1768"/>
      <c r="S215" s="1768"/>
      <c r="T215" s="1768"/>
      <c r="U215" s="1768"/>
      <c r="V215" s="1768"/>
      <c r="W215" s="1768"/>
      <c r="X215" s="1767"/>
      <c r="Y215" s="1914"/>
      <c r="Z215" s="1913"/>
      <c r="AA215" s="1913"/>
      <c r="AB215" s="1794"/>
      <c r="AC215" s="1954"/>
      <c r="AD215" s="1954"/>
      <c r="AE215" s="1954"/>
      <c r="AF215" s="1954"/>
      <c r="AI215" s="1735" t="str">
        <f>"22:yakinhaiti_code:" &amp; IF(I215="■",1,IF(L215="■",2,0))</f>
        <v>22:yakinhaiti_code:0</v>
      </c>
    </row>
    <row r="216" spans="1:35" s="1735" customFormat="1" ht="18.75" hidden="1" customHeight="1">
      <c r="A216" s="1766"/>
      <c r="B216" s="1765"/>
      <c r="C216" s="1764"/>
      <c r="D216" s="1763"/>
      <c r="E216" s="1762"/>
      <c r="F216" s="1761"/>
      <c r="G216" s="1762"/>
      <c r="H216" s="1769" t="s">
        <v>1726</v>
      </c>
      <c r="I216" s="1773" t="s">
        <v>194</v>
      </c>
      <c r="J216" s="1754" t="s">
        <v>1725</v>
      </c>
      <c r="K216" s="1754"/>
      <c r="L216" s="1791"/>
      <c r="M216" s="1791"/>
      <c r="N216" s="1772" t="s">
        <v>194</v>
      </c>
      <c r="O216" s="1754" t="s">
        <v>1724</v>
      </c>
      <c r="P216" s="1768"/>
      <c r="Q216" s="1768"/>
      <c r="R216" s="1768"/>
      <c r="S216" s="1772" t="s">
        <v>194</v>
      </c>
      <c r="T216" s="1754" t="s">
        <v>1723</v>
      </c>
      <c r="U216" s="1768"/>
      <c r="V216" s="1768"/>
      <c r="W216" s="1768"/>
      <c r="X216" s="1767"/>
      <c r="Y216" s="1914"/>
      <c r="Z216" s="1913"/>
      <c r="AA216" s="1913"/>
      <c r="AB216" s="1794"/>
      <c r="AC216" s="1954"/>
      <c r="AD216" s="1954"/>
      <c r="AE216" s="1954"/>
      <c r="AF216" s="1954"/>
      <c r="AI216" s="1735" t="str">
        <f>"22:"&amp;IF(AND(I216="□",N216="□",S216="□"),"koriha_gengo_code:0:riha_seisin_code:0:koriha_other_code:0",IF(I216="■","koriha_gengo_code:2","koriha_gengo_code:1")
&amp;IF(N216="■",":riha_seisin_code:2",":riha_seisin_code:1")
&amp;IF(S216="■",":koriha_other_code:2",":koriha_other_code:1"))</f>
        <v>22:koriha_gengo_code:0:riha_seisin_code:0:koriha_other_code:0</v>
      </c>
    </row>
    <row r="217" spans="1:35" s="1735" customFormat="1" ht="18.75" hidden="1" customHeight="1">
      <c r="A217" s="1766"/>
      <c r="B217" s="1765"/>
      <c r="C217" s="1764"/>
      <c r="D217" s="1878" t="s">
        <v>194</v>
      </c>
      <c r="E217" s="1762" t="s">
        <v>1728</v>
      </c>
      <c r="F217" s="1761"/>
      <c r="G217" s="1762"/>
      <c r="H217" s="1769" t="s">
        <v>1607</v>
      </c>
      <c r="I217" s="1773" t="s">
        <v>194</v>
      </c>
      <c r="J217" s="1754" t="s">
        <v>750</v>
      </c>
      <c r="K217" s="1789"/>
      <c r="L217" s="1772" t="s">
        <v>194</v>
      </c>
      <c r="M217" s="1754" t="s">
        <v>764</v>
      </c>
      <c r="N217" s="1768"/>
      <c r="O217" s="1768"/>
      <c r="P217" s="1768"/>
      <c r="Q217" s="1768"/>
      <c r="R217" s="1768"/>
      <c r="S217" s="1768"/>
      <c r="T217" s="1768"/>
      <c r="U217" s="1768"/>
      <c r="V217" s="1768"/>
      <c r="W217" s="1768"/>
      <c r="X217" s="1767"/>
      <c r="Y217" s="1914"/>
      <c r="Z217" s="1913"/>
      <c r="AA217" s="1913"/>
      <c r="AB217" s="1794"/>
      <c r="AC217" s="1954"/>
      <c r="AD217" s="1954"/>
      <c r="AE217" s="1954"/>
      <c r="AF217" s="1954"/>
      <c r="AI217" s="1735" t="str">
        <f>"22:ninticare_code:" &amp; IF(I217="■",1,IF(L217="■",2,0))</f>
        <v>22:ninticare_code:0</v>
      </c>
    </row>
    <row r="218" spans="1:35" s="1735" customFormat="1" ht="18.75" hidden="1" customHeight="1">
      <c r="A218" s="1776" t="s">
        <v>194</v>
      </c>
      <c r="B218" s="1765">
        <v>22</v>
      </c>
      <c r="C218" s="1764" t="s">
        <v>1668</v>
      </c>
      <c r="D218" s="1878" t="s">
        <v>194</v>
      </c>
      <c r="E218" s="1762" t="s">
        <v>1727</v>
      </c>
      <c r="F218" s="1761"/>
      <c r="G218" s="1762"/>
      <c r="H218" s="1769" t="s">
        <v>1498</v>
      </c>
      <c r="I218" s="1773" t="s">
        <v>194</v>
      </c>
      <c r="J218" s="1754" t="s">
        <v>750</v>
      </c>
      <c r="K218" s="1789"/>
      <c r="L218" s="1772" t="s">
        <v>194</v>
      </c>
      <c r="M218" s="1754" t="s">
        <v>764</v>
      </c>
      <c r="N218" s="1768"/>
      <c r="O218" s="1768"/>
      <c r="P218" s="1768"/>
      <c r="Q218" s="1768"/>
      <c r="R218" s="1768"/>
      <c r="S218" s="1768"/>
      <c r="T218" s="1768"/>
      <c r="U218" s="1768"/>
      <c r="V218" s="1768"/>
      <c r="W218" s="1768"/>
      <c r="X218" s="1767"/>
      <c r="Y218" s="1914"/>
      <c r="Z218" s="1913"/>
      <c r="AA218" s="1913"/>
      <c r="AB218" s="1794"/>
      <c r="AC218" s="1954"/>
      <c r="AD218" s="1954"/>
      <c r="AE218" s="1954"/>
      <c r="AF218" s="1954"/>
      <c r="AI218" s="1735" t="str">
        <f>"22:jyakuninti_uke_code:" &amp; IF(I218="■",1,IF(L218="■",2,0))</f>
        <v>22:jyakuninti_uke_code:0</v>
      </c>
    </row>
    <row r="219" spans="1:35" s="1735" customFormat="1" ht="18.75" hidden="1" customHeight="1">
      <c r="A219" s="1766"/>
      <c r="B219" s="1765"/>
      <c r="C219" s="1764"/>
      <c r="D219" s="1763"/>
      <c r="E219" s="1762"/>
      <c r="F219" s="1761"/>
      <c r="G219" s="1762"/>
      <c r="H219" s="1769" t="s">
        <v>1666</v>
      </c>
      <c r="I219" s="1773" t="s">
        <v>194</v>
      </c>
      <c r="J219" s="1754" t="s">
        <v>755</v>
      </c>
      <c r="K219" s="1789"/>
      <c r="L219" s="1791"/>
      <c r="M219" s="1772" t="s">
        <v>194</v>
      </c>
      <c r="N219" s="1754" t="s">
        <v>756</v>
      </c>
      <c r="O219" s="1768"/>
      <c r="P219" s="1768"/>
      <c r="Q219" s="1768"/>
      <c r="R219" s="1768"/>
      <c r="S219" s="1768"/>
      <c r="T219" s="1768"/>
      <c r="U219" s="1768"/>
      <c r="V219" s="1768"/>
      <c r="W219" s="1768"/>
      <c r="X219" s="1767"/>
      <c r="Y219" s="1914"/>
      <c r="Z219" s="1913"/>
      <c r="AA219" s="1913"/>
      <c r="AB219" s="1794"/>
      <c r="AC219" s="1954"/>
      <c r="AD219" s="1954"/>
      <c r="AE219" s="1954"/>
      <c r="AF219" s="1954"/>
      <c r="AI219" s="1735" t="str">
        <f>"22:sougei_code:" &amp; IF(I219="■",1,IF(M219="■",2,0))</f>
        <v>22:sougei_code:0</v>
      </c>
    </row>
    <row r="220" spans="1:35" s="1735" customFormat="1" ht="18.75" hidden="1" customHeight="1">
      <c r="A220" s="1766"/>
      <c r="B220" s="1765"/>
      <c r="C220" s="1764"/>
      <c r="D220" s="1763"/>
      <c r="E220" s="1762"/>
      <c r="F220" s="1761"/>
      <c r="G220" s="1762"/>
      <c r="H220" s="1769" t="s">
        <v>1720</v>
      </c>
      <c r="I220" s="1773" t="s">
        <v>194</v>
      </c>
      <c r="J220" s="1754" t="s">
        <v>1589</v>
      </c>
      <c r="K220" s="1768"/>
      <c r="L220" s="1768"/>
      <c r="M220" s="1768"/>
      <c r="N220" s="1768"/>
      <c r="O220" s="1768"/>
      <c r="P220" s="1772" t="s">
        <v>194</v>
      </c>
      <c r="Q220" s="1754" t="s">
        <v>1588</v>
      </c>
      <c r="R220" s="1768"/>
      <c r="S220" s="1771"/>
      <c r="T220" s="1768"/>
      <c r="U220" s="1768"/>
      <c r="V220" s="1768"/>
      <c r="W220" s="1768"/>
      <c r="X220" s="1767"/>
      <c r="Y220" s="1914"/>
      <c r="Z220" s="1913"/>
      <c r="AA220" s="1913"/>
      <c r="AB220" s="1794"/>
      <c r="AC220" s="1954"/>
      <c r="AD220" s="1954"/>
      <c r="AE220" s="1954"/>
      <c r="AF220" s="1954"/>
      <c r="AI220" s="1735" t="str">
        <f>"22:" &amp; IF(AND(I220="□",P220="□"),"tokusin_jyusho_code:0:tokusin_yakuzai_code:0",IF(I220="■","tokusin_jyusho_code:2","tokusin_jyusho_code:1")
&amp;IF(P220="■",":tokusin_yakuzai_code:2",":tokusin_yakuzai_code:1"))</f>
        <v>22:tokusin_jyusho_code:0:tokusin_yakuzai_code:0</v>
      </c>
    </row>
    <row r="221" spans="1:35" s="1735" customFormat="1" ht="18.75" hidden="1" customHeight="1">
      <c r="A221" s="1766"/>
      <c r="B221" s="1765"/>
      <c r="C221" s="1764"/>
      <c r="D221" s="1763"/>
      <c r="E221" s="1762"/>
      <c r="F221" s="1761"/>
      <c r="G221" s="1762"/>
      <c r="H221" s="1769" t="s">
        <v>1623</v>
      </c>
      <c r="I221" s="1773" t="s">
        <v>194</v>
      </c>
      <c r="J221" s="1754" t="s">
        <v>750</v>
      </c>
      <c r="K221" s="1789"/>
      <c r="L221" s="1772" t="s">
        <v>194</v>
      </c>
      <c r="M221" s="1754" t="s">
        <v>764</v>
      </c>
      <c r="N221" s="1771"/>
      <c r="O221" s="1771"/>
      <c r="P221" s="1771"/>
      <c r="Q221" s="1771"/>
      <c r="R221" s="1771"/>
      <c r="S221" s="1771"/>
      <c r="T221" s="1771"/>
      <c r="U221" s="1771"/>
      <c r="V221" s="1771"/>
      <c r="W221" s="1771"/>
      <c r="X221" s="1770"/>
      <c r="Y221" s="1914"/>
      <c r="Z221" s="1913"/>
      <c r="AA221" s="1913"/>
      <c r="AB221" s="1794"/>
      <c r="AC221" s="1954"/>
      <c r="AD221" s="1954"/>
      <c r="AE221" s="1954"/>
      <c r="AF221" s="1954"/>
      <c r="AI221" s="1735" t="str">
        <f>"22:field198:" &amp; IF(I221="■",1,IF(L221="■",2,0))</f>
        <v>22:field198:0</v>
      </c>
    </row>
    <row r="222" spans="1:35" s="1735" customFormat="1" ht="18.75" hidden="1" customHeight="1">
      <c r="A222" s="1766"/>
      <c r="B222" s="1765"/>
      <c r="C222" s="1764"/>
      <c r="D222" s="1763"/>
      <c r="E222" s="1762"/>
      <c r="F222" s="1761"/>
      <c r="G222" s="1762"/>
      <c r="H222" s="1769" t="s">
        <v>1719</v>
      </c>
      <c r="I222" s="1773" t="s">
        <v>194</v>
      </c>
      <c r="J222" s="1754" t="s">
        <v>750</v>
      </c>
      <c r="K222" s="1789"/>
      <c r="L222" s="1772" t="s">
        <v>194</v>
      </c>
      <c r="M222" s="1754" t="s">
        <v>764</v>
      </c>
      <c r="N222" s="1771"/>
      <c r="O222" s="1771"/>
      <c r="P222" s="1771"/>
      <c r="Q222" s="1771"/>
      <c r="R222" s="1771"/>
      <c r="S222" s="1771"/>
      <c r="T222" s="1771"/>
      <c r="U222" s="1771"/>
      <c r="V222" s="1771"/>
      <c r="W222" s="1771"/>
      <c r="X222" s="1770"/>
      <c r="Y222" s="1914"/>
      <c r="Z222" s="1913"/>
      <c r="AA222" s="1913"/>
      <c r="AB222" s="1794"/>
      <c r="AC222" s="1954"/>
      <c r="AD222" s="1954"/>
      <c r="AE222" s="1954"/>
      <c r="AF222" s="1954"/>
      <c r="AI222" s="1735" t="str">
        <f>"22:field199:" &amp; IF(I222="■",1,IF(L222="■",2,0))</f>
        <v>22:field199:0</v>
      </c>
    </row>
    <row r="223" spans="1:35" s="1735" customFormat="1" ht="19.5" hidden="1" customHeight="1">
      <c r="A223" s="1766"/>
      <c r="B223" s="1765"/>
      <c r="C223" s="1764"/>
      <c r="D223" s="1763"/>
      <c r="E223" s="1762"/>
      <c r="F223" s="1761"/>
      <c r="G223" s="1793"/>
      <c r="H223" s="1792" t="s">
        <v>1516</v>
      </c>
      <c r="I223" s="1773" t="s">
        <v>194</v>
      </c>
      <c r="J223" s="1754" t="s">
        <v>750</v>
      </c>
      <c r="K223" s="1754"/>
      <c r="L223" s="1772" t="s">
        <v>194</v>
      </c>
      <c r="M223" s="1754" t="s">
        <v>764</v>
      </c>
      <c r="N223" s="1754"/>
      <c r="O223" s="1768"/>
      <c r="P223" s="1754"/>
      <c r="Q223" s="1768"/>
      <c r="R223" s="1768"/>
      <c r="S223" s="1768"/>
      <c r="T223" s="1768"/>
      <c r="U223" s="1768"/>
      <c r="V223" s="1768"/>
      <c r="W223" s="1768"/>
      <c r="X223" s="1767"/>
      <c r="Y223" s="1913"/>
      <c r="Z223" s="1913"/>
      <c r="AA223" s="1913"/>
      <c r="AB223" s="1794"/>
      <c r="AC223" s="1954"/>
      <c r="AD223" s="1954"/>
      <c r="AE223" s="1954"/>
      <c r="AF223" s="1954"/>
      <c r="AI223" s="1735" t="str">
        <f>"22:field224:" &amp; IF(I223="■",1,IF(L223="■",2,0))</f>
        <v>22:field224:0</v>
      </c>
    </row>
    <row r="224" spans="1:35" s="1735" customFormat="1" ht="18.75" hidden="1" customHeight="1">
      <c r="A224" s="1766"/>
      <c r="B224" s="1765"/>
      <c r="C224" s="1764"/>
      <c r="D224" s="1763"/>
      <c r="E224" s="1762"/>
      <c r="F224" s="1761"/>
      <c r="G224" s="1762"/>
      <c r="H224" s="1769" t="s">
        <v>787</v>
      </c>
      <c r="I224" s="1773" t="s">
        <v>194</v>
      </c>
      <c r="J224" s="1754" t="s">
        <v>750</v>
      </c>
      <c r="K224" s="1789"/>
      <c r="L224" s="1772" t="s">
        <v>194</v>
      </c>
      <c r="M224" s="1754" t="s">
        <v>764</v>
      </c>
      <c r="N224" s="1768"/>
      <c r="O224" s="1768"/>
      <c r="P224" s="1768"/>
      <c r="Q224" s="1768"/>
      <c r="R224" s="1768"/>
      <c r="S224" s="1768"/>
      <c r="T224" s="1768"/>
      <c r="U224" s="1768"/>
      <c r="V224" s="1768"/>
      <c r="W224" s="1768"/>
      <c r="X224" s="1767"/>
      <c r="Y224" s="1914"/>
      <c r="Z224" s="1913"/>
      <c r="AA224" s="1913"/>
      <c r="AB224" s="1794"/>
      <c r="AC224" s="1954"/>
      <c r="AD224" s="1954"/>
      <c r="AE224" s="1954"/>
      <c r="AF224" s="1954"/>
      <c r="AI224" s="1735" t="str">
        <f>"22:ryouyoushoku_code:" &amp; IF(I224="■",1,IF(L224="■",2,0))</f>
        <v>22:ryouyoushoku_code:0</v>
      </c>
    </row>
    <row r="225" spans="1:36" s="1735" customFormat="1" ht="18.75" hidden="1" customHeight="1">
      <c r="A225" s="1766"/>
      <c r="B225" s="1765"/>
      <c r="C225" s="1764"/>
      <c r="D225" s="1763"/>
      <c r="E225" s="1762"/>
      <c r="F225" s="1761"/>
      <c r="G225" s="1762"/>
      <c r="H225" s="1769" t="s">
        <v>1681</v>
      </c>
      <c r="I225" s="1773" t="s">
        <v>194</v>
      </c>
      <c r="J225" s="1754" t="s">
        <v>750</v>
      </c>
      <c r="K225" s="1754"/>
      <c r="L225" s="1772" t="s">
        <v>194</v>
      </c>
      <c r="M225" s="1754" t="s">
        <v>784</v>
      </c>
      <c r="N225" s="1754"/>
      <c r="O225" s="1772" t="s">
        <v>194</v>
      </c>
      <c r="P225" s="1754" t="s">
        <v>785</v>
      </c>
      <c r="Q225" s="1768"/>
      <c r="R225" s="1768"/>
      <c r="S225" s="1768"/>
      <c r="T225" s="1768"/>
      <c r="U225" s="1768"/>
      <c r="V225" s="1768"/>
      <c r="W225" s="1768"/>
      <c r="X225" s="1767"/>
      <c r="Y225" s="1914"/>
      <c r="Z225" s="1913"/>
      <c r="AA225" s="1913"/>
      <c r="AB225" s="1794"/>
      <c r="AC225" s="1954"/>
      <c r="AD225" s="1954"/>
      <c r="AE225" s="1954"/>
      <c r="AF225" s="1954"/>
      <c r="AI225" s="1735" t="str">
        <f>"22:ninti_senmoncare_code:" &amp; IF(I225="■",1,IF(O225="■",3,IF(L225="■",2,0)))</f>
        <v>22:ninti_senmoncare_code:0</v>
      </c>
    </row>
    <row r="226" spans="1:36" s="1735" customFormat="1" ht="18.75" hidden="1" customHeight="1">
      <c r="A226" s="1766"/>
      <c r="B226" s="1765"/>
      <c r="C226" s="1764"/>
      <c r="D226" s="1763"/>
      <c r="E226" s="1762"/>
      <c r="F226" s="1761"/>
      <c r="G226" s="1762"/>
      <c r="H226" s="1917" t="s">
        <v>794</v>
      </c>
      <c r="I226" s="1773" t="s">
        <v>194</v>
      </c>
      <c r="J226" s="1754" t="s">
        <v>750</v>
      </c>
      <c r="K226" s="1754"/>
      <c r="L226" s="1772" t="s">
        <v>194</v>
      </c>
      <c r="M226" s="1754" t="s">
        <v>784</v>
      </c>
      <c r="N226" s="1754"/>
      <c r="O226" s="1772" t="s">
        <v>194</v>
      </c>
      <c r="P226" s="1754" t="s">
        <v>785</v>
      </c>
      <c r="Q226" s="1768"/>
      <c r="R226" s="1768"/>
      <c r="S226" s="1768"/>
      <c r="T226" s="1768"/>
      <c r="U226" s="1829"/>
      <c r="V226" s="1829"/>
      <c r="W226" s="1829"/>
      <c r="X226" s="1828"/>
      <c r="Y226" s="1914"/>
      <c r="Z226" s="1913"/>
      <c r="AA226" s="1913"/>
      <c r="AB226" s="1794"/>
      <c r="AC226" s="1954"/>
      <c r="AD226" s="1954"/>
      <c r="AE226" s="1954"/>
      <c r="AF226" s="1954"/>
      <c r="AI226" s="1735" t="str">
        <f>"22:field225:" &amp; IF(I226="■",1,IF(L226="■",2,IF(O226="■",3,0)))</f>
        <v>22:field225:0</v>
      </c>
    </row>
    <row r="227" spans="1:36" s="1735" customFormat="1" ht="18.75" hidden="1" customHeight="1">
      <c r="A227" s="1766"/>
      <c r="B227" s="1765"/>
      <c r="C227" s="1764"/>
      <c r="D227" s="1763"/>
      <c r="E227" s="1762"/>
      <c r="F227" s="1761"/>
      <c r="G227" s="1762"/>
      <c r="H227" s="1777" t="s">
        <v>795</v>
      </c>
      <c r="I227" s="1773" t="s">
        <v>194</v>
      </c>
      <c r="J227" s="1754" t="s">
        <v>750</v>
      </c>
      <c r="K227" s="1754"/>
      <c r="L227" s="1772" t="s">
        <v>194</v>
      </c>
      <c r="M227" s="1754" t="s">
        <v>796</v>
      </c>
      <c r="N227" s="1754"/>
      <c r="O227" s="1772" t="s">
        <v>194</v>
      </c>
      <c r="P227" s="1754" t="s">
        <v>797</v>
      </c>
      <c r="Q227" s="1771"/>
      <c r="R227" s="1772" t="s">
        <v>194</v>
      </c>
      <c r="S227" s="1754" t="s">
        <v>798</v>
      </c>
      <c r="T227" s="1771"/>
      <c r="U227" s="1771"/>
      <c r="V227" s="1771"/>
      <c r="W227" s="1771"/>
      <c r="X227" s="1770"/>
      <c r="Y227" s="1914"/>
      <c r="Z227" s="1913"/>
      <c r="AA227" s="1913"/>
      <c r="AB227" s="1794"/>
      <c r="AC227" s="1954"/>
      <c r="AD227" s="1954"/>
      <c r="AE227" s="1954"/>
      <c r="AF227" s="1954"/>
      <c r="AI227" s="1735" t="str">
        <f>"22:serteikyo_kyoka_code:" &amp; IF(I227="■",1,IF(L227="■",6,IF(O227="■",5,IF(R227="■",7,0))))</f>
        <v>22:serteikyo_kyoka_code:0</v>
      </c>
    </row>
    <row r="228" spans="1:36" s="1735" customFormat="1" ht="18.75" hidden="1" customHeight="1">
      <c r="A228" s="1766"/>
      <c r="B228" s="1765"/>
      <c r="C228" s="1764"/>
      <c r="D228" s="1763"/>
      <c r="E228" s="1762"/>
      <c r="F228" s="1761"/>
      <c r="G228" s="1762"/>
      <c r="H228" s="1788" t="s">
        <v>1665</v>
      </c>
      <c r="I228" s="1969" t="s">
        <v>194</v>
      </c>
      <c r="J228" s="1968" t="s">
        <v>750</v>
      </c>
      <c r="K228" s="1968"/>
      <c r="L228" s="1967" t="s">
        <v>194</v>
      </c>
      <c r="M228" s="1968" t="s">
        <v>764</v>
      </c>
      <c r="N228" s="1968"/>
      <c r="O228" s="1923"/>
      <c r="P228" s="1923"/>
      <c r="Q228" s="1923"/>
      <c r="R228" s="1923"/>
      <c r="S228" s="1923"/>
      <c r="T228" s="1923"/>
      <c r="U228" s="1923"/>
      <c r="V228" s="1923"/>
      <c r="W228" s="1923"/>
      <c r="X228" s="1956"/>
      <c r="Y228" s="1914"/>
      <c r="Z228" s="1913"/>
      <c r="AA228" s="1913"/>
      <c r="AB228" s="1794"/>
      <c r="AC228" s="1954"/>
      <c r="AD228" s="1954"/>
      <c r="AE228" s="1954"/>
      <c r="AF228" s="1954"/>
      <c r="AI228" s="1735" t="str">
        <f>"22:field221:" &amp; IF(I228="■",1,IF(L228="■",2,0))</f>
        <v>22:field221:0</v>
      </c>
    </row>
    <row r="229" spans="1:36" s="1735" customFormat="1" ht="18.75" hidden="1" customHeight="1">
      <c r="A229" s="1766"/>
      <c r="B229" s="1765"/>
      <c r="C229" s="1764"/>
      <c r="D229" s="1763"/>
      <c r="E229" s="1762"/>
      <c r="F229" s="1761"/>
      <c r="G229" s="1762"/>
      <c r="H229" s="1783"/>
      <c r="I229" s="1969"/>
      <c r="J229" s="1968"/>
      <c r="K229" s="1968"/>
      <c r="L229" s="1967"/>
      <c r="M229" s="1968"/>
      <c r="N229" s="1968"/>
      <c r="O229" s="1756"/>
      <c r="P229" s="1756"/>
      <c r="Q229" s="1756"/>
      <c r="R229" s="1756"/>
      <c r="S229" s="1756"/>
      <c r="T229" s="1756"/>
      <c r="U229" s="1756"/>
      <c r="V229" s="1756"/>
      <c r="W229" s="1756"/>
      <c r="X229" s="1814"/>
      <c r="Y229" s="1914"/>
      <c r="Z229" s="1913"/>
      <c r="AA229" s="1913"/>
      <c r="AB229" s="1794"/>
      <c r="AC229" s="1954"/>
      <c r="AD229" s="1954"/>
      <c r="AE229" s="1954"/>
      <c r="AF229" s="1954"/>
    </row>
    <row r="230" spans="1:36" s="1735" customFormat="1" ht="18.75" hidden="1" customHeight="1">
      <c r="A230" s="1752"/>
      <c r="B230" s="1751"/>
      <c r="C230" s="1750"/>
      <c r="D230" s="1749"/>
      <c r="E230" s="1748"/>
      <c r="F230" s="1747"/>
      <c r="G230" s="1808"/>
      <c r="H230" s="1909" t="s">
        <v>1553</v>
      </c>
      <c r="I230" s="1744" t="s">
        <v>194</v>
      </c>
      <c r="J230" s="1905" t="s">
        <v>750</v>
      </c>
      <c r="K230" s="1905"/>
      <c r="L230" s="1743" t="s">
        <v>194</v>
      </c>
      <c r="M230" s="1905" t="s">
        <v>1552</v>
      </c>
      <c r="N230" s="1908"/>
      <c r="O230" s="1743" t="s">
        <v>194</v>
      </c>
      <c r="P230" s="1907" t="s">
        <v>1551</v>
      </c>
      <c r="Q230" s="1906"/>
      <c r="R230" s="1743" t="s">
        <v>194</v>
      </c>
      <c r="S230" s="1905" t="s">
        <v>1550</v>
      </c>
      <c r="T230" s="1906"/>
      <c r="U230" s="1743" t="s">
        <v>194</v>
      </c>
      <c r="V230" s="1905" t="s">
        <v>1549</v>
      </c>
      <c r="W230" s="1904"/>
      <c r="X230" s="1903"/>
      <c r="Y230" s="1902"/>
      <c r="Z230" s="1902"/>
      <c r="AA230" s="1902"/>
      <c r="AB230" s="1901"/>
      <c r="AC230" s="1953"/>
      <c r="AD230" s="1953"/>
      <c r="AE230" s="1953"/>
      <c r="AF230" s="1953"/>
      <c r="AI230" s="1735" t="str">
        <f>"22:shoguukaizen_code:"&amp;IF(I230="■",1,IF(L230="■",7,IF(O230="■",8,IF(R230="■",9,IF(U230="■","A",0)))))</f>
        <v>22:shoguukaizen_code:0</v>
      </c>
    </row>
    <row r="231" spans="1:36" s="1735" customFormat="1" ht="18.75" hidden="1" customHeight="1">
      <c r="A231" s="1807"/>
      <c r="B231" s="1806"/>
      <c r="C231" s="1849"/>
      <c r="D231" s="1848"/>
      <c r="E231" s="1804"/>
      <c r="F231" s="1803"/>
      <c r="G231" s="1804"/>
      <c r="H231" s="1801" t="s">
        <v>746</v>
      </c>
      <c r="I231" s="1800" t="s">
        <v>194</v>
      </c>
      <c r="J231" s="1799" t="s">
        <v>747</v>
      </c>
      <c r="K231" s="1846"/>
      <c r="L231" s="1845"/>
      <c r="M231" s="1798" t="s">
        <v>194</v>
      </c>
      <c r="N231" s="1799" t="s">
        <v>748</v>
      </c>
      <c r="O231" s="1796"/>
      <c r="P231" s="1796"/>
      <c r="Q231" s="1796"/>
      <c r="R231" s="1796"/>
      <c r="S231" s="1796"/>
      <c r="T231" s="1796"/>
      <c r="U231" s="1796"/>
      <c r="V231" s="1796"/>
      <c r="W231" s="1796"/>
      <c r="X231" s="1795"/>
      <c r="Y231" s="1931" t="s">
        <v>194</v>
      </c>
      <c r="Z231" s="1872" t="s">
        <v>749</v>
      </c>
      <c r="AA231" s="1872"/>
      <c r="AB231" s="1929"/>
      <c r="AC231" s="1959"/>
      <c r="AD231" s="1959"/>
      <c r="AE231" s="1959"/>
      <c r="AF231" s="1959"/>
      <c r="AG231" s="1735" t="str">
        <f>"ser_code = '" &amp; IF(A241="■",22,"") &amp; "'"</f>
        <v>ser_code = ''</v>
      </c>
      <c r="AI231" s="1735" t="str">
        <f>"22:yakan_kinmu_code:" &amp; IF(I231="■",1,IF(M231="■",6,0))</f>
        <v>22:yakan_kinmu_code:0</v>
      </c>
      <c r="AJ231" s="1735" t="str">
        <f>"22:field203:" &amp; IF(Y231="■",1,IF(Y232="■",2,0))</f>
        <v>22:field203:0</v>
      </c>
    </row>
    <row r="232" spans="1:36" s="1735" customFormat="1" ht="18.75" hidden="1" customHeight="1">
      <c r="A232" s="1766"/>
      <c r="B232" s="1765"/>
      <c r="C232" s="1764"/>
      <c r="D232" s="1763"/>
      <c r="E232" s="1762"/>
      <c r="F232" s="1761"/>
      <c r="G232" s="1762"/>
      <c r="H232" s="1925" t="s">
        <v>1717</v>
      </c>
      <c r="I232" s="1924" t="s">
        <v>194</v>
      </c>
      <c r="J232" s="1923" t="s">
        <v>750</v>
      </c>
      <c r="K232" s="1923"/>
      <c r="L232" s="1937"/>
      <c r="M232" s="1922" t="s">
        <v>194</v>
      </c>
      <c r="N232" s="1923" t="s">
        <v>1568</v>
      </c>
      <c r="O232" s="1923"/>
      <c r="P232" s="1937"/>
      <c r="Q232" s="1922" t="s">
        <v>194</v>
      </c>
      <c r="R232" s="1785" t="s">
        <v>1615</v>
      </c>
      <c r="S232" s="1785"/>
      <c r="T232" s="1785"/>
      <c r="U232" s="1922" t="s">
        <v>194</v>
      </c>
      <c r="V232" s="1785" t="s">
        <v>1614</v>
      </c>
      <c r="W232" s="1785"/>
      <c r="X232" s="1784"/>
      <c r="Y232" s="1878" t="s">
        <v>194</v>
      </c>
      <c r="Z232" s="1738" t="s">
        <v>754</v>
      </c>
      <c r="AA232" s="1913"/>
      <c r="AB232" s="1794"/>
      <c r="AC232" s="1954"/>
      <c r="AD232" s="1954"/>
      <c r="AE232" s="1954"/>
      <c r="AF232" s="1954"/>
      <c r="AG232" s="1735" t="str">
        <f>"22:sisetukbn_code:" &amp; IF(D241="■",6,IF(D242="■",8,0))</f>
        <v>22:sisetukbn_code:0</v>
      </c>
      <c r="AI232" s="1735" t="str">
        <f>"22:"&amp;IF(AND(I232="□",M232="□",Q232="□",U232="□",I233="□",M233="□",Q233="□"),"ketu_doctor_code:0",IF(I232="■","ketu_doctor_code:1:ketu_kangos_code:1:ketu_kshoku_code:1:ketu_rryoho_code:1:ketu_sryoho_code:1:ketu_gengo_code:1",
IF(M232="■","ketu_doctor_code:2","ketu_doctor_code:1")
&amp;IF(Q232="■",":ketu_kangos_code:2",":ketu_kangos_code:1")
&amp;IF(U232="■",":ketu_kshoku_code:2",":ketu_kshoku_code:1")
&amp;IF(I233="■",":ketu_rryoho_code:2",":ketu_rryoho_code:1")
&amp;IF(M233="■",":ketu_sryoho_code:2",":ketu_sryoho_code:1")
&amp;IF(Q233="■",":ketu_gengo_code:2",":ketu_gengo_code:1")))</f>
        <v>22:ketu_doctor_code:0</v>
      </c>
    </row>
    <row r="233" spans="1:36" s="1735" customFormat="1" ht="18.75" hidden="1" customHeight="1">
      <c r="A233" s="1766"/>
      <c r="B233" s="1765"/>
      <c r="C233" s="1764"/>
      <c r="D233" s="1763"/>
      <c r="E233" s="1762"/>
      <c r="F233" s="1761"/>
      <c r="G233" s="1762"/>
      <c r="H233" s="1921"/>
      <c r="I233" s="1758" t="s">
        <v>194</v>
      </c>
      <c r="J233" s="1756" t="s">
        <v>1613</v>
      </c>
      <c r="K233" s="1756"/>
      <c r="L233" s="2006"/>
      <c r="M233" s="1757" t="s">
        <v>194</v>
      </c>
      <c r="N233" s="1756" t="s">
        <v>1612</v>
      </c>
      <c r="O233" s="1756"/>
      <c r="P233" s="2006"/>
      <c r="Q233" s="1757" t="s">
        <v>194</v>
      </c>
      <c r="R233" s="1780" t="s">
        <v>1716</v>
      </c>
      <c r="S233" s="1780"/>
      <c r="T233" s="1780"/>
      <c r="U233" s="1780"/>
      <c r="V233" s="1780"/>
      <c r="W233" s="1780"/>
      <c r="X233" s="1779"/>
      <c r="Y233" s="1914"/>
      <c r="Z233" s="1913"/>
      <c r="AA233" s="1913"/>
      <c r="AB233" s="1794"/>
      <c r="AC233" s="1954"/>
      <c r="AD233" s="1954"/>
      <c r="AE233" s="1954"/>
      <c r="AF233" s="1954"/>
    </row>
    <row r="234" spans="1:36" s="1735" customFormat="1" ht="18.75" hidden="1" customHeight="1">
      <c r="A234" s="1766"/>
      <c r="B234" s="1765"/>
      <c r="C234" s="1764"/>
      <c r="D234" s="1763"/>
      <c r="E234" s="1762"/>
      <c r="F234" s="1761"/>
      <c r="G234" s="1762"/>
      <c r="H234" s="1769" t="s">
        <v>99</v>
      </c>
      <c r="I234" s="1773" t="s">
        <v>194</v>
      </c>
      <c r="J234" s="1754" t="s">
        <v>755</v>
      </c>
      <c r="K234" s="1789"/>
      <c r="L234" s="1791"/>
      <c r="M234" s="1772" t="s">
        <v>194</v>
      </c>
      <c r="N234" s="1754" t="s">
        <v>756</v>
      </c>
      <c r="O234" s="1768"/>
      <c r="P234" s="1768"/>
      <c r="Q234" s="1768"/>
      <c r="R234" s="1768"/>
      <c r="S234" s="1768"/>
      <c r="T234" s="1768"/>
      <c r="U234" s="1768"/>
      <c r="V234" s="1768"/>
      <c r="W234" s="1768"/>
      <c r="X234" s="1767"/>
      <c r="Y234" s="1914"/>
      <c r="Z234" s="1913"/>
      <c r="AA234" s="1913"/>
      <c r="AB234" s="1794"/>
      <c r="AC234" s="1954"/>
      <c r="AD234" s="1954"/>
      <c r="AE234" s="1954"/>
      <c r="AF234" s="1954"/>
      <c r="AI234" s="1735" t="str">
        <f>"22:unitcare_code:" &amp; IF(I234="■",1,IF(M234="■",2,0))</f>
        <v>22:unitcare_code:0</v>
      </c>
    </row>
    <row r="235" spans="1:36" s="1735" customFormat="1" ht="18.75" hidden="1" customHeight="1">
      <c r="A235" s="1766"/>
      <c r="B235" s="1765"/>
      <c r="C235" s="1916"/>
      <c r="D235" s="1915"/>
      <c r="E235" s="1762"/>
      <c r="F235" s="1761"/>
      <c r="G235" s="1793"/>
      <c r="H235" s="2002" t="s">
        <v>757</v>
      </c>
      <c r="I235" s="1842" t="s">
        <v>194</v>
      </c>
      <c r="J235" s="1837" t="s">
        <v>758</v>
      </c>
      <c r="K235" s="1841"/>
      <c r="L235" s="1840"/>
      <c r="M235" s="1839" t="s">
        <v>194</v>
      </c>
      <c r="N235" s="1837" t="s">
        <v>759</v>
      </c>
      <c r="O235" s="1841"/>
      <c r="P235" s="2001"/>
      <c r="Q235" s="2001"/>
      <c r="R235" s="2001"/>
      <c r="S235" s="2001"/>
      <c r="T235" s="2001"/>
      <c r="U235" s="2001"/>
      <c r="V235" s="2001"/>
      <c r="W235" s="2001"/>
      <c r="X235" s="2000"/>
      <c r="Y235" s="1914"/>
      <c r="Z235" s="1913"/>
      <c r="AA235" s="1913"/>
      <c r="AB235" s="1794"/>
      <c r="AC235" s="1954"/>
      <c r="AD235" s="1954"/>
      <c r="AE235" s="1954"/>
      <c r="AF235" s="1954"/>
      <c r="AI235" s="1735" t="str">
        <f>"22:sintaikousoku_code:" &amp; IF(I235="■",1,IF(M235="■",2,0))</f>
        <v>22:sintaikousoku_code:0</v>
      </c>
    </row>
    <row r="236" spans="1:36" s="1735" customFormat="1" ht="19.5" hidden="1" customHeight="1">
      <c r="A236" s="1766"/>
      <c r="B236" s="1765"/>
      <c r="C236" s="1764"/>
      <c r="D236" s="1763"/>
      <c r="E236" s="1762"/>
      <c r="F236" s="1761"/>
      <c r="G236" s="1793"/>
      <c r="H236" s="1792" t="s">
        <v>760</v>
      </c>
      <c r="I236" s="1773" t="s">
        <v>194</v>
      </c>
      <c r="J236" s="1754" t="s">
        <v>758</v>
      </c>
      <c r="K236" s="1789"/>
      <c r="L236" s="1791"/>
      <c r="M236" s="1772" t="s">
        <v>194</v>
      </c>
      <c r="N236" s="1754" t="s">
        <v>761</v>
      </c>
      <c r="O236" s="1920"/>
      <c r="P236" s="1754"/>
      <c r="Q236" s="1768"/>
      <c r="R236" s="1768"/>
      <c r="S236" s="1768"/>
      <c r="T236" s="1768"/>
      <c r="U236" s="1768"/>
      <c r="V236" s="1768"/>
      <c r="W236" s="1768"/>
      <c r="X236" s="1767"/>
      <c r="Y236" s="1913"/>
      <c r="Z236" s="1913"/>
      <c r="AA236" s="1913"/>
      <c r="AB236" s="1794"/>
      <c r="AC236" s="1954"/>
      <c r="AD236" s="1954"/>
      <c r="AE236" s="1954"/>
      <c r="AF236" s="1954"/>
      <c r="AI236" s="1735" t="str">
        <f>"22:field223:" &amp; IF(I236="■",1,IF(M236="■",2,0))</f>
        <v>22:field223:0</v>
      </c>
    </row>
    <row r="237" spans="1:36" s="1735" customFormat="1" ht="19.5" hidden="1" customHeight="1">
      <c r="A237" s="1766"/>
      <c r="B237" s="1765"/>
      <c r="C237" s="1764"/>
      <c r="D237" s="1763"/>
      <c r="E237" s="1762"/>
      <c r="F237" s="1761"/>
      <c r="G237" s="1793"/>
      <c r="H237" s="1792" t="s">
        <v>762</v>
      </c>
      <c r="I237" s="1773" t="s">
        <v>194</v>
      </c>
      <c r="J237" s="1754" t="s">
        <v>758</v>
      </c>
      <c r="K237" s="1789"/>
      <c r="L237" s="1791"/>
      <c r="M237" s="1772" t="s">
        <v>194</v>
      </c>
      <c r="N237" s="1754" t="s">
        <v>761</v>
      </c>
      <c r="O237" s="1920"/>
      <c r="P237" s="1754"/>
      <c r="Q237" s="1768"/>
      <c r="R237" s="1768"/>
      <c r="S237" s="1768"/>
      <c r="T237" s="1768"/>
      <c r="U237" s="1768"/>
      <c r="V237" s="1768"/>
      <c r="W237" s="1768"/>
      <c r="X237" s="1767"/>
      <c r="Y237" s="1913"/>
      <c r="Z237" s="1913"/>
      <c r="AA237" s="1913"/>
      <c r="AB237" s="1794"/>
      <c r="AC237" s="1954"/>
      <c r="AD237" s="1954"/>
      <c r="AE237" s="1954"/>
      <c r="AF237" s="1954"/>
      <c r="AI237" s="1735" t="str">
        <f>"22:field232:" &amp; IF(I237="■",1,IF(M237="■",2,0))</f>
        <v>22:field232:0</v>
      </c>
    </row>
    <row r="238" spans="1:36" s="1735" customFormat="1" ht="18.75" hidden="1" customHeight="1">
      <c r="A238" s="1766"/>
      <c r="B238" s="1765"/>
      <c r="C238" s="1764"/>
      <c r="D238" s="1763"/>
      <c r="E238" s="1762"/>
      <c r="F238" s="1761"/>
      <c r="G238" s="1762"/>
      <c r="H238" s="1769" t="s">
        <v>768</v>
      </c>
      <c r="I238" s="1773" t="s">
        <v>194</v>
      </c>
      <c r="J238" s="1754" t="s">
        <v>750</v>
      </c>
      <c r="K238" s="1789"/>
      <c r="L238" s="1772" t="s">
        <v>194</v>
      </c>
      <c r="M238" s="1754" t="s">
        <v>764</v>
      </c>
      <c r="N238" s="1768"/>
      <c r="O238" s="1768"/>
      <c r="P238" s="1768"/>
      <c r="Q238" s="1768"/>
      <c r="R238" s="1768"/>
      <c r="S238" s="1768"/>
      <c r="T238" s="1768"/>
      <c r="U238" s="1768"/>
      <c r="V238" s="1768"/>
      <c r="W238" s="1768"/>
      <c r="X238" s="1767"/>
      <c r="Y238" s="1914"/>
      <c r="Z238" s="1913"/>
      <c r="AA238" s="1913"/>
      <c r="AB238" s="1794"/>
      <c r="AC238" s="1954"/>
      <c r="AD238" s="1954"/>
      <c r="AE238" s="1954"/>
      <c r="AF238" s="1954"/>
      <c r="AI238" s="1735" t="str">
        <f>"22:yakinhaiti_code:" &amp; IF(I238="■",1,IF(L238="■",2,0))</f>
        <v>22:yakinhaiti_code:0</v>
      </c>
    </row>
    <row r="239" spans="1:36" s="1735" customFormat="1" ht="18.75" hidden="1" customHeight="1">
      <c r="A239" s="1766"/>
      <c r="B239" s="1765"/>
      <c r="C239" s="1764"/>
      <c r="D239" s="1763"/>
      <c r="E239" s="1762"/>
      <c r="F239" s="1761"/>
      <c r="G239" s="1762"/>
      <c r="H239" s="1769" t="s">
        <v>1726</v>
      </c>
      <c r="I239" s="1773" t="s">
        <v>194</v>
      </c>
      <c r="J239" s="1754" t="s">
        <v>1725</v>
      </c>
      <c r="K239" s="1754"/>
      <c r="L239" s="1791"/>
      <c r="M239" s="1791"/>
      <c r="N239" s="1772" t="s">
        <v>194</v>
      </c>
      <c r="O239" s="1754" t="s">
        <v>1724</v>
      </c>
      <c r="P239" s="1768"/>
      <c r="Q239" s="1768"/>
      <c r="R239" s="1768"/>
      <c r="S239" s="1772" t="s">
        <v>194</v>
      </c>
      <c r="T239" s="1754" t="s">
        <v>1723</v>
      </c>
      <c r="U239" s="1768"/>
      <c r="V239" s="1768"/>
      <c r="W239" s="1768"/>
      <c r="X239" s="1767"/>
      <c r="Y239" s="1914"/>
      <c r="Z239" s="1913"/>
      <c r="AA239" s="1913"/>
      <c r="AB239" s="1794"/>
      <c r="AC239" s="1954"/>
      <c r="AD239" s="1954"/>
      <c r="AE239" s="1954"/>
      <c r="AF239" s="1954"/>
      <c r="AI239" s="1735" t="str">
        <f>"22:"&amp;IF(AND(I239="□",N239="□",S239="□"),"koriha_gengo_code:0:riha_seisin_code:0:koriha_other_code:0",IF(I239="■","koriha_gengo_code:2","koriha_gengo_code:1")
&amp;IF(N239="■",":riha_seisin_code:2",":riha_seisin_code:1")
&amp;IF(S239="■",":koriha_other_code:2",":koriha_other_code:1"))</f>
        <v>22:koriha_gengo_code:0:riha_seisin_code:0:koriha_other_code:0</v>
      </c>
    </row>
    <row r="240" spans="1:36" s="1735" customFormat="1" ht="18.75" hidden="1" customHeight="1">
      <c r="A240" s="1766"/>
      <c r="B240" s="1765"/>
      <c r="C240" s="1764"/>
      <c r="D240" s="1763"/>
      <c r="E240" s="1762"/>
      <c r="F240" s="1761"/>
      <c r="G240" s="1762"/>
      <c r="H240" s="1769" t="s">
        <v>1607</v>
      </c>
      <c r="I240" s="1773" t="s">
        <v>194</v>
      </c>
      <c r="J240" s="1754" t="s">
        <v>750</v>
      </c>
      <c r="K240" s="1789"/>
      <c r="L240" s="1772" t="s">
        <v>194</v>
      </c>
      <c r="M240" s="1754" t="s">
        <v>764</v>
      </c>
      <c r="N240" s="1768"/>
      <c r="O240" s="1768"/>
      <c r="P240" s="1768"/>
      <c r="Q240" s="1768"/>
      <c r="R240" s="1768"/>
      <c r="S240" s="1768"/>
      <c r="T240" s="1768"/>
      <c r="U240" s="1768"/>
      <c r="V240" s="1768"/>
      <c r="W240" s="1768"/>
      <c r="X240" s="1767"/>
      <c r="Y240" s="1914"/>
      <c r="Z240" s="1913"/>
      <c r="AA240" s="1913"/>
      <c r="AB240" s="1794"/>
      <c r="AC240" s="1954"/>
      <c r="AD240" s="1954"/>
      <c r="AE240" s="1954"/>
      <c r="AF240" s="1954"/>
      <c r="AI240" s="1735" t="str">
        <f>"22:ninticare_code:" &amp; IF(I240="■",1,IF(L240="■",2,0))</f>
        <v>22:ninticare_code:0</v>
      </c>
    </row>
    <row r="241" spans="1:36" s="1735" customFormat="1" ht="18.75" hidden="1" customHeight="1">
      <c r="A241" s="1776" t="s">
        <v>194</v>
      </c>
      <c r="B241" s="1765">
        <v>22</v>
      </c>
      <c r="C241" s="1764" t="s">
        <v>1668</v>
      </c>
      <c r="D241" s="1878" t="s">
        <v>194</v>
      </c>
      <c r="E241" s="1762" t="s">
        <v>1722</v>
      </c>
      <c r="F241" s="1761"/>
      <c r="G241" s="1762"/>
      <c r="H241" s="1769" t="s">
        <v>1498</v>
      </c>
      <c r="I241" s="1773" t="s">
        <v>194</v>
      </c>
      <c r="J241" s="1754" t="s">
        <v>750</v>
      </c>
      <c r="K241" s="1789"/>
      <c r="L241" s="1772" t="s">
        <v>194</v>
      </c>
      <c r="M241" s="1754" t="s">
        <v>764</v>
      </c>
      <c r="N241" s="1768"/>
      <c r="O241" s="1768"/>
      <c r="P241" s="1768"/>
      <c r="Q241" s="1768"/>
      <c r="R241" s="1768"/>
      <c r="S241" s="1768"/>
      <c r="T241" s="1768"/>
      <c r="U241" s="1768"/>
      <c r="V241" s="1768"/>
      <c r="W241" s="1768"/>
      <c r="X241" s="1767"/>
      <c r="Y241" s="1914"/>
      <c r="Z241" s="1913"/>
      <c r="AA241" s="1913"/>
      <c r="AB241" s="1794"/>
      <c r="AC241" s="1954"/>
      <c r="AD241" s="1954"/>
      <c r="AE241" s="1954"/>
      <c r="AF241" s="1954"/>
      <c r="AI241" s="1735" t="str">
        <f>"22:jyakuninti_uke_code:" &amp; IF(I241="■",1,IF(L241="■",2,0))</f>
        <v>22:jyakuninti_uke_code:0</v>
      </c>
    </row>
    <row r="242" spans="1:36" s="1735" customFormat="1" ht="18.75" hidden="1" customHeight="1">
      <c r="A242" s="1766"/>
      <c r="B242" s="1765"/>
      <c r="C242" s="1764"/>
      <c r="D242" s="1878" t="s">
        <v>194</v>
      </c>
      <c r="E242" s="1762" t="s">
        <v>1721</v>
      </c>
      <c r="F242" s="1761"/>
      <c r="G242" s="1762"/>
      <c r="H242" s="1769" t="s">
        <v>1666</v>
      </c>
      <c r="I242" s="1773" t="s">
        <v>194</v>
      </c>
      <c r="J242" s="1754" t="s">
        <v>755</v>
      </c>
      <c r="K242" s="1789"/>
      <c r="L242" s="1791"/>
      <c r="M242" s="1772" t="s">
        <v>194</v>
      </c>
      <c r="N242" s="1754" t="s">
        <v>756</v>
      </c>
      <c r="O242" s="1768"/>
      <c r="P242" s="1768"/>
      <c r="Q242" s="1768"/>
      <c r="R242" s="1768"/>
      <c r="S242" s="1768"/>
      <c r="T242" s="1768"/>
      <c r="U242" s="1768"/>
      <c r="V242" s="1768"/>
      <c r="W242" s="1768"/>
      <c r="X242" s="1767"/>
      <c r="Y242" s="1914"/>
      <c r="Z242" s="1913"/>
      <c r="AA242" s="1913"/>
      <c r="AB242" s="1794"/>
      <c r="AC242" s="1954"/>
      <c r="AD242" s="1954"/>
      <c r="AE242" s="1954"/>
      <c r="AF242" s="1954"/>
      <c r="AI242" s="1735" t="str">
        <f>"22:sougei_code:" &amp; IF(I242="■",1,IF(M242="■",2,0))</f>
        <v>22:sougei_code:0</v>
      </c>
    </row>
    <row r="243" spans="1:36" s="1735" customFormat="1" ht="18.75" hidden="1" customHeight="1">
      <c r="A243" s="1766"/>
      <c r="B243" s="1765"/>
      <c r="C243" s="1764"/>
      <c r="D243" s="1763"/>
      <c r="E243" s="1762"/>
      <c r="F243" s="1761"/>
      <c r="G243" s="1762"/>
      <c r="H243" s="1769" t="s">
        <v>1720</v>
      </c>
      <c r="I243" s="1773" t="s">
        <v>194</v>
      </c>
      <c r="J243" s="1754" t="s">
        <v>1589</v>
      </c>
      <c r="K243" s="1768"/>
      <c r="L243" s="1768"/>
      <c r="M243" s="1768"/>
      <c r="N243" s="1768"/>
      <c r="O243" s="1768"/>
      <c r="P243" s="1772" t="s">
        <v>194</v>
      </c>
      <c r="Q243" s="1754" t="s">
        <v>1588</v>
      </c>
      <c r="R243" s="1768"/>
      <c r="S243" s="1771"/>
      <c r="T243" s="1768"/>
      <c r="U243" s="1768"/>
      <c r="V243" s="1768"/>
      <c r="W243" s="1768"/>
      <c r="X243" s="1767"/>
      <c r="Y243" s="1914"/>
      <c r="Z243" s="1913"/>
      <c r="AA243" s="1913"/>
      <c r="AB243" s="1794"/>
      <c r="AC243" s="1954"/>
      <c r="AD243" s="1954"/>
      <c r="AE243" s="1954"/>
      <c r="AF243" s="1954"/>
      <c r="AI243" s="1735" t="str">
        <f>"22:" &amp; IF(AND(I243="□",P243="□"),"tokusin_jyusho_code:0:tokusin_yakuzai_code:0",IF(I243="■","tokusin_jyusho_code:2","tokusin_jyusho_code:1")
&amp;IF(P243="■",":tokusin_yakuzai_code:2",":tokusin_yakuzai_code:1"))</f>
        <v>22:tokusin_jyusho_code:0:tokusin_yakuzai_code:0</v>
      </c>
    </row>
    <row r="244" spans="1:36" s="1735" customFormat="1" ht="18.75" hidden="1" customHeight="1">
      <c r="A244" s="1766"/>
      <c r="B244" s="1765"/>
      <c r="C244" s="1764"/>
      <c r="D244" s="1763"/>
      <c r="E244" s="1762"/>
      <c r="F244" s="1761"/>
      <c r="G244" s="1762"/>
      <c r="H244" s="1769" t="s">
        <v>1623</v>
      </c>
      <c r="I244" s="1773" t="s">
        <v>194</v>
      </c>
      <c r="J244" s="1754" t="s">
        <v>750</v>
      </c>
      <c r="K244" s="1789"/>
      <c r="L244" s="1772" t="s">
        <v>194</v>
      </c>
      <c r="M244" s="1754" t="s">
        <v>764</v>
      </c>
      <c r="N244" s="1771"/>
      <c r="O244" s="1771"/>
      <c r="P244" s="1771"/>
      <c r="Q244" s="1771"/>
      <c r="R244" s="1771"/>
      <c r="S244" s="1771"/>
      <c r="T244" s="1771"/>
      <c r="U244" s="1771"/>
      <c r="V244" s="1771"/>
      <c r="W244" s="1771"/>
      <c r="X244" s="1770"/>
      <c r="Y244" s="1914"/>
      <c r="Z244" s="1913"/>
      <c r="AA244" s="1913"/>
      <c r="AB244" s="1794"/>
      <c r="AC244" s="1954"/>
      <c r="AD244" s="1954"/>
      <c r="AE244" s="1954"/>
      <c r="AF244" s="1954"/>
      <c r="AI244" s="1735" t="str">
        <f>"22:field198:" &amp; IF(I244="■",1,IF(L244="■",2,0))</f>
        <v>22:field198:0</v>
      </c>
    </row>
    <row r="245" spans="1:36" s="1735" customFormat="1" ht="18.75" hidden="1" customHeight="1">
      <c r="A245" s="1766"/>
      <c r="B245" s="1765"/>
      <c r="C245" s="1764"/>
      <c r="D245" s="1763"/>
      <c r="E245" s="1762"/>
      <c r="F245" s="1761"/>
      <c r="G245" s="1762"/>
      <c r="H245" s="1769" t="s">
        <v>1719</v>
      </c>
      <c r="I245" s="1773" t="s">
        <v>194</v>
      </c>
      <c r="J245" s="1754" t="s">
        <v>750</v>
      </c>
      <c r="K245" s="1789"/>
      <c r="L245" s="1772" t="s">
        <v>194</v>
      </c>
      <c r="M245" s="1754" t="s">
        <v>764</v>
      </c>
      <c r="N245" s="1771"/>
      <c r="O245" s="1771"/>
      <c r="P245" s="1771"/>
      <c r="Q245" s="1771"/>
      <c r="R245" s="1771"/>
      <c r="S245" s="1771"/>
      <c r="T245" s="1771"/>
      <c r="U245" s="1771"/>
      <c r="V245" s="1771"/>
      <c r="W245" s="1771"/>
      <c r="X245" s="1770"/>
      <c r="Y245" s="1914"/>
      <c r="Z245" s="1913"/>
      <c r="AA245" s="1913"/>
      <c r="AB245" s="1794"/>
      <c r="AC245" s="1954"/>
      <c r="AD245" s="1954"/>
      <c r="AE245" s="1954"/>
      <c r="AF245" s="1954"/>
      <c r="AI245" s="1735" t="str">
        <f>"22:field199:" &amp; IF(I245="■",1,IF(L245="■",2,0))</f>
        <v>22:field199:0</v>
      </c>
    </row>
    <row r="246" spans="1:36" s="1735" customFormat="1" ht="19.5" hidden="1" customHeight="1">
      <c r="A246" s="1766"/>
      <c r="B246" s="1765"/>
      <c r="C246" s="1764"/>
      <c r="D246" s="1763"/>
      <c r="E246" s="1762"/>
      <c r="F246" s="1761"/>
      <c r="G246" s="1793"/>
      <c r="H246" s="1792" t="s">
        <v>1516</v>
      </c>
      <c r="I246" s="1773" t="s">
        <v>194</v>
      </c>
      <c r="J246" s="1754" t="s">
        <v>750</v>
      </c>
      <c r="K246" s="1754"/>
      <c r="L246" s="1772" t="s">
        <v>194</v>
      </c>
      <c r="M246" s="1754" t="s">
        <v>764</v>
      </c>
      <c r="N246" s="1754"/>
      <c r="O246" s="1768"/>
      <c r="P246" s="1754"/>
      <c r="Q246" s="1768"/>
      <c r="R246" s="1768"/>
      <c r="S246" s="1768"/>
      <c r="T246" s="1768"/>
      <c r="U246" s="1768"/>
      <c r="V246" s="1768"/>
      <c r="W246" s="1768"/>
      <c r="X246" s="1767"/>
      <c r="Y246" s="1913"/>
      <c r="Z246" s="1913"/>
      <c r="AA246" s="1913"/>
      <c r="AB246" s="1794"/>
      <c r="AC246" s="1954"/>
      <c r="AD246" s="1954"/>
      <c r="AE246" s="1954"/>
      <c r="AF246" s="1954"/>
      <c r="AI246" s="1735" t="str">
        <f>"22:field224:" &amp; IF(I246="■",1,IF(L246="■",2,0))</f>
        <v>22:field224:0</v>
      </c>
    </row>
    <row r="247" spans="1:36" s="1735" customFormat="1" ht="18.75" hidden="1" customHeight="1">
      <c r="A247" s="1766"/>
      <c r="B247" s="1765"/>
      <c r="C247" s="1764"/>
      <c r="D247" s="1763"/>
      <c r="E247" s="1762"/>
      <c r="F247" s="1761"/>
      <c r="G247" s="1762"/>
      <c r="H247" s="1769" t="s">
        <v>787</v>
      </c>
      <c r="I247" s="1773" t="s">
        <v>194</v>
      </c>
      <c r="J247" s="1754" t="s">
        <v>750</v>
      </c>
      <c r="K247" s="1789"/>
      <c r="L247" s="1772" t="s">
        <v>194</v>
      </c>
      <c r="M247" s="1754" t="s">
        <v>764</v>
      </c>
      <c r="N247" s="1768"/>
      <c r="O247" s="1768"/>
      <c r="P247" s="1768"/>
      <c r="Q247" s="1768"/>
      <c r="R247" s="1768"/>
      <c r="S247" s="1768"/>
      <c r="T247" s="1768"/>
      <c r="U247" s="1768"/>
      <c r="V247" s="1768"/>
      <c r="W247" s="1768"/>
      <c r="X247" s="1767"/>
      <c r="Y247" s="1914"/>
      <c r="Z247" s="1913"/>
      <c r="AA247" s="1913"/>
      <c r="AB247" s="1794"/>
      <c r="AC247" s="1954"/>
      <c r="AD247" s="1954"/>
      <c r="AE247" s="1954"/>
      <c r="AF247" s="1954"/>
      <c r="AI247" s="1735" t="str">
        <f>"22:ryouyoushoku_code:" &amp; IF(I247="■",1,IF(L247="■",2,0))</f>
        <v>22:ryouyoushoku_code:0</v>
      </c>
    </row>
    <row r="248" spans="1:36" s="1735" customFormat="1" ht="18.75" hidden="1" customHeight="1">
      <c r="A248" s="1766"/>
      <c r="B248" s="1765"/>
      <c r="C248" s="1764"/>
      <c r="D248" s="1763"/>
      <c r="E248" s="1762"/>
      <c r="F248" s="1761"/>
      <c r="G248" s="1762"/>
      <c r="H248" s="1769" t="s">
        <v>1681</v>
      </c>
      <c r="I248" s="1773" t="s">
        <v>194</v>
      </c>
      <c r="J248" s="1754" t="s">
        <v>750</v>
      </c>
      <c r="K248" s="1754"/>
      <c r="L248" s="1772" t="s">
        <v>194</v>
      </c>
      <c r="M248" s="1754" t="s">
        <v>784</v>
      </c>
      <c r="N248" s="1754"/>
      <c r="O248" s="1772" t="s">
        <v>194</v>
      </c>
      <c r="P248" s="1754" t="s">
        <v>785</v>
      </c>
      <c r="Q248" s="1768"/>
      <c r="R248" s="1768"/>
      <c r="S248" s="1768"/>
      <c r="T248" s="1768"/>
      <c r="U248" s="1768"/>
      <c r="V248" s="1768"/>
      <c r="W248" s="1768"/>
      <c r="X248" s="1767"/>
      <c r="Y248" s="1914"/>
      <c r="Z248" s="1913"/>
      <c r="AA248" s="1913"/>
      <c r="AB248" s="1794"/>
      <c r="AC248" s="1954"/>
      <c r="AD248" s="1954"/>
      <c r="AE248" s="1954"/>
      <c r="AF248" s="1954"/>
      <c r="AI248" s="1735" t="str">
        <f>"22:ninti_senmoncare_code:" &amp; IF(I248="■",1,IF(O248="■",3,IF(L248="■",2,0)))</f>
        <v>22:ninti_senmoncare_code:0</v>
      </c>
    </row>
    <row r="249" spans="1:36" s="1735" customFormat="1" ht="18.75" hidden="1" customHeight="1">
      <c r="A249" s="1766"/>
      <c r="B249" s="1765"/>
      <c r="C249" s="1764"/>
      <c r="D249" s="1763"/>
      <c r="E249" s="1762"/>
      <c r="F249" s="1761"/>
      <c r="G249" s="1762"/>
      <c r="H249" s="1917" t="s">
        <v>794</v>
      </c>
      <c r="I249" s="1773" t="s">
        <v>194</v>
      </c>
      <c r="J249" s="1754" t="s">
        <v>750</v>
      </c>
      <c r="K249" s="1754"/>
      <c r="L249" s="1772" t="s">
        <v>194</v>
      </c>
      <c r="M249" s="1754" t="s">
        <v>784</v>
      </c>
      <c r="N249" s="1754"/>
      <c r="O249" s="1772" t="s">
        <v>194</v>
      </c>
      <c r="P249" s="1754" t="s">
        <v>785</v>
      </c>
      <c r="Q249" s="1768"/>
      <c r="R249" s="1768"/>
      <c r="S249" s="1768"/>
      <c r="T249" s="1768"/>
      <c r="U249" s="1829"/>
      <c r="V249" s="1829"/>
      <c r="W249" s="1829"/>
      <c r="X249" s="1828"/>
      <c r="Y249" s="1914"/>
      <c r="Z249" s="1913"/>
      <c r="AA249" s="1913"/>
      <c r="AB249" s="1794"/>
      <c r="AC249" s="1954"/>
      <c r="AD249" s="1954"/>
      <c r="AE249" s="1954"/>
      <c r="AF249" s="1954"/>
      <c r="AI249" s="1735" t="str">
        <f>"22:field225:" &amp; IF(I249="■",1,IF(L249="■",2,IF(O249="■",3,0)))</f>
        <v>22:field225:0</v>
      </c>
    </row>
    <row r="250" spans="1:36" s="1735" customFormat="1" ht="18.75" hidden="1" customHeight="1">
      <c r="A250" s="1766"/>
      <c r="B250" s="1765"/>
      <c r="C250" s="1764"/>
      <c r="D250" s="1763"/>
      <c r="E250" s="1762"/>
      <c r="F250" s="1761"/>
      <c r="G250" s="1762"/>
      <c r="H250" s="1777" t="s">
        <v>795</v>
      </c>
      <c r="I250" s="1773" t="s">
        <v>194</v>
      </c>
      <c r="J250" s="1754" t="s">
        <v>750</v>
      </c>
      <c r="K250" s="1754"/>
      <c r="L250" s="1772" t="s">
        <v>194</v>
      </c>
      <c r="M250" s="1754" t="s">
        <v>796</v>
      </c>
      <c r="N250" s="1754"/>
      <c r="O250" s="1772" t="s">
        <v>194</v>
      </c>
      <c r="P250" s="1754" t="s">
        <v>797</v>
      </c>
      <c r="Q250" s="1771"/>
      <c r="R250" s="1772" t="s">
        <v>194</v>
      </c>
      <c r="S250" s="1754" t="s">
        <v>798</v>
      </c>
      <c r="T250" s="1771"/>
      <c r="U250" s="1771"/>
      <c r="V250" s="1771"/>
      <c r="W250" s="1771"/>
      <c r="X250" s="1770"/>
      <c r="Y250" s="1914"/>
      <c r="Z250" s="1913"/>
      <c r="AA250" s="1913"/>
      <c r="AB250" s="1794"/>
      <c r="AC250" s="1954"/>
      <c r="AD250" s="1954"/>
      <c r="AE250" s="1954"/>
      <c r="AF250" s="1954"/>
      <c r="AI250" s="1735" t="str">
        <f>"22:serteikyo_kyoka_code:" &amp; IF(I250="■",1,IF(L250="■",6,IF(O250="■",5,IF(R250="■",7,0))))</f>
        <v>22:serteikyo_kyoka_code:0</v>
      </c>
    </row>
    <row r="251" spans="1:36" s="1735" customFormat="1" ht="18.75" hidden="1" customHeight="1">
      <c r="A251" s="1766"/>
      <c r="B251" s="1765"/>
      <c r="C251" s="1764"/>
      <c r="D251" s="1763"/>
      <c r="E251" s="1762"/>
      <c r="F251" s="1761"/>
      <c r="G251" s="1762"/>
      <c r="H251" s="1788" t="s">
        <v>1665</v>
      </c>
      <c r="I251" s="1969" t="s">
        <v>194</v>
      </c>
      <c r="J251" s="1968" t="s">
        <v>750</v>
      </c>
      <c r="K251" s="1968"/>
      <c r="L251" s="1967" t="s">
        <v>194</v>
      </c>
      <c r="M251" s="1968" t="s">
        <v>764</v>
      </c>
      <c r="N251" s="1968"/>
      <c r="O251" s="1923"/>
      <c r="P251" s="1923"/>
      <c r="Q251" s="1923"/>
      <c r="R251" s="1923"/>
      <c r="S251" s="1923"/>
      <c r="T251" s="1923"/>
      <c r="U251" s="1923"/>
      <c r="V251" s="1923"/>
      <c r="W251" s="1923"/>
      <c r="X251" s="1956"/>
      <c r="Y251" s="1914"/>
      <c r="Z251" s="1913"/>
      <c r="AA251" s="1913"/>
      <c r="AB251" s="1794"/>
      <c r="AC251" s="1954"/>
      <c r="AD251" s="1954"/>
      <c r="AE251" s="1954"/>
      <c r="AF251" s="1954"/>
      <c r="AI251" s="1735" t="str">
        <f>"22:field221:" &amp; IF(I251="■",1,IF(L251="■",2,0))</f>
        <v>22:field221:0</v>
      </c>
    </row>
    <row r="252" spans="1:36" s="1735" customFormat="1" ht="18.75" hidden="1" customHeight="1">
      <c r="A252" s="1766"/>
      <c r="B252" s="1765"/>
      <c r="C252" s="1764"/>
      <c r="D252" s="1763"/>
      <c r="E252" s="1762"/>
      <c r="F252" s="1761"/>
      <c r="G252" s="1762"/>
      <c r="H252" s="1783"/>
      <c r="I252" s="1969"/>
      <c r="J252" s="1968"/>
      <c r="K252" s="1968"/>
      <c r="L252" s="1967"/>
      <c r="M252" s="1968"/>
      <c r="N252" s="1968"/>
      <c r="O252" s="1756"/>
      <c r="P252" s="1756"/>
      <c r="Q252" s="1756"/>
      <c r="R252" s="1756"/>
      <c r="S252" s="1756"/>
      <c r="T252" s="1756"/>
      <c r="U252" s="1756"/>
      <c r="V252" s="1756"/>
      <c r="W252" s="1756"/>
      <c r="X252" s="1814"/>
      <c r="Y252" s="1914"/>
      <c r="Z252" s="1913"/>
      <c r="AA252" s="1913"/>
      <c r="AB252" s="1794"/>
      <c r="AC252" s="1954"/>
      <c r="AD252" s="1954"/>
      <c r="AE252" s="1954"/>
      <c r="AF252" s="1954"/>
    </row>
    <row r="253" spans="1:36" s="1735" customFormat="1" ht="18.75" hidden="1" customHeight="1">
      <c r="A253" s="1752"/>
      <c r="B253" s="1751"/>
      <c r="C253" s="1750"/>
      <c r="D253" s="1749"/>
      <c r="E253" s="1748"/>
      <c r="F253" s="1747"/>
      <c r="G253" s="1808"/>
      <c r="H253" s="1909" t="s">
        <v>1553</v>
      </c>
      <c r="I253" s="1744" t="s">
        <v>194</v>
      </c>
      <c r="J253" s="1905" t="s">
        <v>750</v>
      </c>
      <c r="K253" s="1905"/>
      <c r="L253" s="1743" t="s">
        <v>194</v>
      </c>
      <c r="M253" s="1905" t="s">
        <v>1552</v>
      </c>
      <c r="N253" s="1908"/>
      <c r="O253" s="1743" t="s">
        <v>194</v>
      </c>
      <c r="P253" s="1907" t="s">
        <v>1551</v>
      </c>
      <c r="Q253" s="1906"/>
      <c r="R253" s="1743" t="s">
        <v>194</v>
      </c>
      <c r="S253" s="1905" t="s">
        <v>1550</v>
      </c>
      <c r="T253" s="1906"/>
      <c r="U253" s="1743" t="s">
        <v>194</v>
      </c>
      <c r="V253" s="1905" t="s">
        <v>1549</v>
      </c>
      <c r="W253" s="1904"/>
      <c r="X253" s="1903"/>
      <c r="Y253" s="1902"/>
      <c r="Z253" s="1902"/>
      <c r="AA253" s="1902"/>
      <c r="AB253" s="1901"/>
      <c r="AC253" s="1953"/>
      <c r="AD253" s="1953"/>
      <c r="AE253" s="1953"/>
      <c r="AF253" s="1953"/>
      <c r="AI253" s="1735" t="str">
        <f>"22:shoguukaizen_code:"&amp;IF(I253="■",1,IF(L253="■",7,IF(O253="■",8,IF(R253="■",9,IF(U253="■","A",0)))))</f>
        <v>22:shoguukaizen_code:0</v>
      </c>
    </row>
    <row r="254" spans="1:36" s="1735" customFormat="1" ht="18.75" hidden="1" customHeight="1">
      <c r="A254" s="1807"/>
      <c r="B254" s="1806"/>
      <c r="C254" s="1849"/>
      <c r="D254" s="1848"/>
      <c r="E254" s="1804"/>
      <c r="F254" s="1848"/>
      <c r="G254" s="1802"/>
      <c r="H254" s="1801" t="s">
        <v>746</v>
      </c>
      <c r="I254" s="1800" t="s">
        <v>194</v>
      </c>
      <c r="J254" s="1799" t="s">
        <v>747</v>
      </c>
      <c r="K254" s="1846"/>
      <c r="L254" s="1845"/>
      <c r="M254" s="1798" t="s">
        <v>194</v>
      </c>
      <c r="N254" s="1799" t="s">
        <v>748</v>
      </c>
      <c r="O254" s="1796"/>
      <c r="P254" s="1796"/>
      <c r="Q254" s="1796"/>
      <c r="R254" s="1796"/>
      <c r="S254" s="1796"/>
      <c r="T254" s="1796"/>
      <c r="U254" s="1796"/>
      <c r="V254" s="1796"/>
      <c r="W254" s="1796"/>
      <c r="X254" s="1795"/>
      <c r="Y254" s="1873" t="s">
        <v>194</v>
      </c>
      <c r="Z254" s="1872" t="s">
        <v>749</v>
      </c>
      <c r="AA254" s="1872"/>
      <c r="AB254" s="1929"/>
      <c r="AC254" s="1959"/>
      <c r="AD254" s="1959"/>
      <c r="AE254" s="1959"/>
      <c r="AF254" s="1959"/>
      <c r="AG254" s="1735" t="str">
        <f>"ser_code = '" &amp; IF(A263="■",22,"") &amp; "'"</f>
        <v>ser_code = ''</v>
      </c>
      <c r="AI254" s="1735" t="str">
        <f>"22:yakan_kinmu_code:" &amp; IF(I254="■",1,IF(M254="■",6,0))</f>
        <v>22:yakan_kinmu_code:0</v>
      </c>
      <c r="AJ254" s="1735" t="str">
        <f>"22:field203:" &amp; IF(Y254="■",1,IF(Y255="■",2,0))</f>
        <v>22:field203:0</v>
      </c>
    </row>
    <row r="255" spans="1:36" s="1735" customFormat="1" ht="18.75" hidden="1" customHeight="1">
      <c r="A255" s="1766"/>
      <c r="B255" s="1765"/>
      <c r="C255" s="1764"/>
      <c r="D255" s="1763"/>
      <c r="E255" s="1762"/>
      <c r="F255" s="1763"/>
      <c r="G255" s="1793"/>
      <c r="H255" s="1925" t="s">
        <v>1717</v>
      </c>
      <c r="I255" s="1924" t="s">
        <v>194</v>
      </c>
      <c r="J255" s="1923" t="s">
        <v>750</v>
      </c>
      <c r="K255" s="1923"/>
      <c r="L255" s="1937"/>
      <c r="M255" s="1922" t="s">
        <v>194</v>
      </c>
      <c r="N255" s="1923" t="s">
        <v>1568</v>
      </c>
      <c r="O255" s="1923"/>
      <c r="P255" s="1937"/>
      <c r="Q255" s="1922" t="s">
        <v>194</v>
      </c>
      <c r="R255" s="1785" t="s">
        <v>1615</v>
      </c>
      <c r="S255" s="1785"/>
      <c r="T255" s="1785"/>
      <c r="U255" s="1922" t="s">
        <v>194</v>
      </c>
      <c r="V255" s="1785" t="s">
        <v>1614</v>
      </c>
      <c r="W255" s="1785"/>
      <c r="X255" s="1784"/>
      <c r="Y255" s="1878" t="s">
        <v>194</v>
      </c>
      <c r="Z255" s="1738" t="s">
        <v>754</v>
      </c>
      <c r="AA255" s="1913"/>
      <c r="AB255" s="1794"/>
      <c r="AC255" s="1954"/>
      <c r="AD255" s="1954"/>
      <c r="AE255" s="1954"/>
      <c r="AF255" s="1954"/>
      <c r="AG255" s="1735" t="str">
        <f>"22:sisetukbn_code:" &amp; IF(D263="■",9,0)</f>
        <v>22:sisetukbn_code:0</v>
      </c>
      <c r="AI255" s="1735" t="str">
        <f>"22:"&amp;IF(AND(I255="□",M255="□",Q255="□",U255="□",I256="□",M256="□",Q256="□"),"ketu_doctor_code:0",IF(I255="■","ketu_doctor_code:1:ketu_kangos_code:1:ketu_kshoku_code:1:ketu_rryoho_code:1:ketu_sryoho_code:1:ketu_gengo_code:1",
IF(M255="■","ketu_doctor_code:2","ketu_doctor_code:1")
&amp;IF(Q255="■",":ketu_kangos_code:2",":ketu_kangos_code:1")
&amp;IF(U255="■",":ketu_kshoku_code:2",":ketu_kshoku_code:1")
&amp;IF(I256="■",":ketu_rryoho_code:2",":ketu_rryoho_code:1")
&amp;IF(M256="■",":ketu_sryoho_code:2",":ketu_sryoho_code:1")
&amp;IF(Q256="■",":ketu_gengo_code:2",":ketu_gengo_code:1")))</f>
        <v>22:ketu_doctor_code:0</v>
      </c>
    </row>
    <row r="256" spans="1:36" s="1735" customFormat="1" ht="18.75" hidden="1" customHeight="1">
      <c r="A256" s="1766"/>
      <c r="B256" s="1765"/>
      <c r="C256" s="1764"/>
      <c r="D256" s="1763"/>
      <c r="E256" s="1762"/>
      <c r="F256" s="1763"/>
      <c r="G256" s="1793"/>
      <c r="H256" s="1921"/>
      <c r="I256" s="1758" t="s">
        <v>194</v>
      </c>
      <c r="J256" s="1756" t="s">
        <v>1613</v>
      </c>
      <c r="K256" s="1756"/>
      <c r="L256" s="2006"/>
      <c r="M256" s="1757" t="s">
        <v>194</v>
      </c>
      <c r="N256" s="1756" t="s">
        <v>1612</v>
      </c>
      <c r="O256" s="1756"/>
      <c r="P256" s="2006"/>
      <c r="Q256" s="1757" t="s">
        <v>194</v>
      </c>
      <c r="R256" s="1780" t="s">
        <v>1716</v>
      </c>
      <c r="S256" s="1780"/>
      <c r="T256" s="1780"/>
      <c r="U256" s="1780"/>
      <c r="V256" s="1780"/>
      <c r="W256" s="1780"/>
      <c r="X256" s="1779"/>
      <c r="Y256" s="1914"/>
      <c r="Z256" s="1913"/>
      <c r="AA256" s="1913"/>
      <c r="AB256" s="1794"/>
      <c r="AC256" s="1954"/>
      <c r="AD256" s="1954"/>
      <c r="AE256" s="1954"/>
      <c r="AF256" s="1954"/>
    </row>
    <row r="257" spans="1:35" s="1735" customFormat="1" ht="18.75" hidden="1" customHeight="1">
      <c r="A257" s="1766"/>
      <c r="B257" s="1765"/>
      <c r="C257" s="1764"/>
      <c r="D257" s="1763"/>
      <c r="E257" s="1762"/>
      <c r="F257" s="1763"/>
      <c r="G257" s="1793"/>
      <c r="H257" s="1769" t="s">
        <v>99</v>
      </c>
      <c r="I257" s="1773" t="s">
        <v>194</v>
      </c>
      <c r="J257" s="1754" t="s">
        <v>755</v>
      </c>
      <c r="K257" s="1789"/>
      <c r="L257" s="1791"/>
      <c r="M257" s="1772" t="s">
        <v>194</v>
      </c>
      <c r="N257" s="1754" t="s">
        <v>756</v>
      </c>
      <c r="O257" s="1768"/>
      <c r="P257" s="1768"/>
      <c r="Q257" s="1768"/>
      <c r="R257" s="1768"/>
      <c r="S257" s="1768"/>
      <c r="T257" s="1768"/>
      <c r="U257" s="1768"/>
      <c r="V257" s="1768"/>
      <c r="W257" s="1768"/>
      <c r="X257" s="1767"/>
      <c r="Y257" s="1914"/>
      <c r="Z257" s="1913"/>
      <c r="AA257" s="1913"/>
      <c r="AB257" s="1794"/>
      <c r="AC257" s="1954"/>
      <c r="AD257" s="1954"/>
      <c r="AE257" s="1954"/>
      <c r="AF257" s="1954"/>
      <c r="AI257" s="1735" t="str">
        <f>"22:unitcare_code:" &amp; IF(I257="■",1,IF(M257="■",2,0))</f>
        <v>22:unitcare_code:0</v>
      </c>
    </row>
    <row r="258" spans="1:35" s="1735" customFormat="1" ht="18.75" hidden="1" customHeight="1">
      <c r="A258" s="1766"/>
      <c r="B258" s="1765"/>
      <c r="C258" s="1916"/>
      <c r="D258" s="1915"/>
      <c r="E258" s="1762"/>
      <c r="F258" s="1761"/>
      <c r="G258" s="1793"/>
      <c r="H258" s="2002" t="s">
        <v>757</v>
      </c>
      <c r="I258" s="1842" t="s">
        <v>194</v>
      </c>
      <c r="J258" s="1837" t="s">
        <v>758</v>
      </c>
      <c r="K258" s="1841"/>
      <c r="L258" s="1840"/>
      <c r="M258" s="1839" t="s">
        <v>194</v>
      </c>
      <c r="N258" s="1837" t="s">
        <v>759</v>
      </c>
      <c r="O258" s="1841"/>
      <c r="P258" s="2001"/>
      <c r="Q258" s="2001"/>
      <c r="R258" s="2001"/>
      <c r="S258" s="2001"/>
      <c r="T258" s="2001"/>
      <c r="U258" s="2001"/>
      <c r="V258" s="2001"/>
      <c r="W258" s="2001"/>
      <c r="X258" s="2000"/>
      <c r="Y258" s="1914"/>
      <c r="Z258" s="1913"/>
      <c r="AA258" s="1913"/>
      <c r="AB258" s="1794"/>
      <c r="AC258" s="1954"/>
      <c r="AD258" s="1954"/>
      <c r="AE258" s="1954"/>
      <c r="AF258" s="1954"/>
      <c r="AI258" s="1735" t="str">
        <f>"22:sintaikousoku_code:" &amp; IF(I258="■",1,IF(M258="■",2,0))</f>
        <v>22:sintaikousoku_code:0</v>
      </c>
    </row>
    <row r="259" spans="1:35" s="1735" customFormat="1" ht="19.5" hidden="1" customHeight="1">
      <c r="A259" s="1766"/>
      <c r="B259" s="1765"/>
      <c r="C259" s="1764"/>
      <c r="D259" s="1763"/>
      <c r="E259" s="1762"/>
      <c r="F259" s="1761"/>
      <c r="G259" s="1793"/>
      <c r="H259" s="1792" t="s">
        <v>760</v>
      </c>
      <c r="I259" s="1773" t="s">
        <v>194</v>
      </c>
      <c r="J259" s="1754" t="s">
        <v>758</v>
      </c>
      <c r="K259" s="1789"/>
      <c r="L259" s="1791"/>
      <c r="M259" s="1772" t="s">
        <v>194</v>
      </c>
      <c r="N259" s="1754" t="s">
        <v>761</v>
      </c>
      <c r="O259" s="1920"/>
      <c r="P259" s="1754"/>
      <c r="Q259" s="1768"/>
      <c r="R259" s="1768"/>
      <c r="S259" s="1768"/>
      <c r="T259" s="1768"/>
      <c r="U259" s="1768"/>
      <c r="V259" s="1768"/>
      <c r="W259" s="1768"/>
      <c r="X259" s="1767"/>
      <c r="Y259" s="1913"/>
      <c r="Z259" s="1913"/>
      <c r="AA259" s="1913"/>
      <c r="AB259" s="1794"/>
      <c r="AC259" s="1954"/>
      <c r="AD259" s="1954"/>
      <c r="AE259" s="1954"/>
      <c r="AF259" s="1954"/>
      <c r="AI259" s="1735" t="str">
        <f>"22:field223:" &amp; IF(I259="■",1,IF(M259="■",2,0))</f>
        <v>22:field223:0</v>
      </c>
    </row>
    <row r="260" spans="1:35" s="1735" customFormat="1" ht="19.5" hidden="1" customHeight="1">
      <c r="A260" s="1766"/>
      <c r="B260" s="1765"/>
      <c r="C260" s="1764"/>
      <c r="D260" s="1763"/>
      <c r="E260" s="1762"/>
      <c r="F260" s="1761"/>
      <c r="G260" s="1793"/>
      <c r="H260" s="1792" t="s">
        <v>762</v>
      </c>
      <c r="I260" s="1773" t="s">
        <v>194</v>
      </c>
      <c r="J260" s="1754" t="s">
        <v>758</v>
      </c>
      <c r="K260" s="1789"/>
      <c r="L260" s="1791"/>
      <c r="M260" s="1772" t="s">
        <v>194</v>
      </c>
      <c r="N260" s="1754" t="s">
        <v>761</v>
      </c>
      <c r="O260" s="1920"/>
      <c r="P260" s="1754"/>
      <c r="Q260" s="1768"/>
      <c r="R260" s="1768"/>
      <c r="S260" s="1768"/>
      <c r="T260" s="1768"/>
      <c r="U260" s="1768"/>
      <c r="V260" s="1768"/>
      <c r="W260" s="1768"/>
      <c r="X260" s="1767"/>
      <c r="Y260" s="1913"/>
      <c r="Z260" s="1913"/>
      <c r="AA260" s="1913"/>
      <c r="AB260" s="1794"/>
      <c r="AC260" s="1954"/>
      <c r="AD260" s="1954"/>
      <c r="AE260" s="1954"/>
      <c r="AF260" s="1954"/>
      <c r="AI260" s="1735" t="str">
        <f>"22:field232:" &amp; IF(I260="■",1,IF(M260="■",2,0))</f>
        <v>22:field232:0</v>
      </c>
    </row>
    <row r="261" spans="1:35" s="835" customFormat="1" ht="19.5" hidden="1" customHeight="1">
      <c r="A261" s="338"/>
      <c r="B261" s="833"/>
      <c r="C261" s="341"/>
      <c r="D261" s="834"/>
      <c r="E261" s="836"/>
      <c r="F261" s="832"/>
      <c r="G261" s="385"/>
      <c r="H261" s="1945" t="s">
        <v>1597</v>
      </c>
      <c r="I261" s="1773" t="s">
        <v>194</v>
      </c>
      <c r="J261" s="1941" t="s">
        <v>1595</v>
      </c>
      <c r="K261" s="1944"/>
      <c r="L261" s="1943"/>
      <c r="M261" s="1772" t="s">
        <v>194</v>
      </c>
      <c r="N261" s="1941" t="s">
        <v>1594</v>
      </c>
      <c r="O261" s="1942"/>
      <c r="P261" s="1941"/>
      <c r="Q261" s="1940"/>
      <c r="R261" s="1940"/>
      <c r="S261" s="1940"/>
      <c r="T261" s="1940"/>
      <c r="U261" s="1940"/>
      <c r="V261" s="1940"/>
      <c r="W261" s="1940"/>
      <c r="X261" s="1939"/>
      <c r="Y261" s="557"/>
      <c r="Z261" s="2"/>
      <c r="AA261" s="837"/>
      <c r="AB261" s="339"/>
      <c r="AC261" s="1954"/>
      <c r="AD261" s="1954"/>
      <c r="AE261" s="1954"/>
      <c r="AF261" s="1954"/>
      <c r="AI261" s="1735" t="str">
        <f>"22:field242:" &amp; IF(I261="■",1,IF(M261="■",2,0))</f>
        <v>22:field242:0</v>
      </c>
    </row>
    <row r="262" spans="1:35" s="1735" customFormat="1" ht="18.75" hidden="1" customHeight="1">
      <c r="A262" s="1766"/>
      <c r="B262" s="1765"/>
      <c r="C262" s="1764"/>
      <c r="D262" s="1763"/>
      <c r="E262" s="1762"/>
      <c r="F262" s="1763"/>
      <c r="G262" s="1793"/>
      <c r="H262" s="1769" t="s">
        <v>768</v>
      </c>
      <c r="I262" s="1773" t="s">
        <v>194</v>
      </c>
      <c r="J262" s="1754" t="s">
        <v>750</v>
      </c>
      <c r="K262" s="1789"/>
      <c r="L262" s="1772" t="s">
        <v>194</v>
      </c>
      <c r="M262" s="1754" t="s">
        <v>764</v>
      </c>
      <c r="N262" s="1768"/>
      <c r="O262" s="1768"/>
      <c r="P262" s="1768"/>
      <c r="Q262" s="1768"/>
      <c r="R262" s="1768"/>
      <c r="S262" s="1768"/>
      <c r="T262" s="1768"/>
      <c r="U262" s="1768"/>
      <c r="V262" s="1768"/>
      <c r="W262" s="1768"/>
      <c r="X262" s="1767"/>
      <c r="Y262" s="1914"/>
      <c r="Z262" s="1913"/>
      <c r="AA262" s="1913"/>
      <c r="AB262" s="1794"/>
      <c r="AC262" s="1954"/>
      <c r="AD262" s="1954"/>
      <c r="AE262" s="1954"/>
      <c r="AF262" s="1954"/>
      <c r="AI262" s="1735" t="str">
        <f>"22:yakinhaiti_code:" &amp; IF(I262="■",1,IF(L262="■",2,0))</f>
        <v>22:yakinhaiti_code:0</v>
      </c>
    </row>
    <row r="263" spans="1:35" s="1735" customFormat="1" ht="18.75" hidden="1" customHeight="1">
      <c r="A263" s="1776" t="s">
        <v>194</v>
      </c>
      <c r="B263" s="1765">
        <v>22</v>
      </c>
      <c r="C263" s="1764" t="s">
        <v>1668</v>
      </c>
      <c r="D263" s="1878" t="s">
        <v>194</v>
      </c>
      <c r="E263" s="1762" t="s">
        <v>1718</v>
      </c>
      <c r="F263" s="1763"/>
      <c r="G263" s="1793"/>
      <c r="H263" s="1769" t="s">
        <v>1607</v>
      </c>
      <c r="I263" s="1773" t="s">
        <v>194</v>
      </c>
      <c r="J263" s="1754" t="s">
        <v>750</v>
      </c>
      <c r="K263" s="1789"/>
      <c r="L263" s="1772" t="s">
        <v>194</v>
      </c>
      <c r="M263" s="1754" t="s">
        <v>764</v>
      </c>
      <c r="N263" s="1768"/>
      <c r="O263" s="1768"/>
      <c r="P263" s="1768"/>
      <c r="Q263" s="1768"/>
      <c r="R263" s="1768"/>
      <c r="S263" s="1768"/>
      <c r="T263" s="1768"/>
      <c r="U263" s="1768"/>
      <c r="V263" s="1768"/>
      <c r="W263" s="1768"/>
      <c r="X263" s="1767"/>
      <c r="Y263" s="1914"/>
      <c r="Z263" s="1913"/>
      <c r="AA263" s="1913"/>
      <c r="AB263" s="1794"/>
      <c r="AC263" s="1954"/>
      <c r="AD263" s="1954"/>
      <c r="AE263" s="1954"/>
      <c r="AF263" s="1954"/>
      <c r="AI263" s="1735" t="str">
        <f>"22:ninticare_code:" &amp; IF(I263="■",1,IF(L263="■",2,0))</f>
        <v>22:ninticare_code:0</v>
      </c>
    </row>
    <row r="264" spans="1:35" s="1735" customFormat="1" ht="18.75" hidden="1" customHeight="1">
      <c r="A264" s="1766"/>
      <c r="B264" s="1765"/>
      <c r="C264" s="1764"/>
      <c r="D264" s="1763"/>
      <c r="E264" s="1762"/>
      <c r="F264" s="1763"/>
      <c r="G264" s="1793"/>
      <c r="H264" s="1769" t="s">
        <v>1498</v>
      </c>
      <c r="I264" s="1773" t="s">
        <v>194</v>
      </c>
      <c r="J264" s="1754" t="s">
        <v>750</v>
      </c>
      <c r="K264" s="1789"/>
      <c r="L264" s="1772" t="s">
        <v>194</v>
      </c>
      <c r="M264" s="1754" t="s">
        <v>764</v>
      </c>
      <c r="N264" s="1768"/>
      <c r="O264" s="1768"/>
      <c r="P264" s="1768"/>
      <c r="Q264" s="1768"/>
      <c r="R264" s="1768"/>
      <c r="S264" s="1768"/>
      <c r="T264" s="1768"/>
      <c r="U264" s="1768"/>
      <c r="V264" s="1768"/>
      <c r="W264" s="1768"/>
      <c r="X264" s="1767"/>
      <c r="Y264" s="1914"/>
      <c r="Z264" s="1913"/>
      <c r="AA264" s="1913"/>
      <c r="AB264" s="1794"/>
      <c r="AC264" s="1954"/>
      <c r="AD264" s="1954"/>
      <c r="AE264" s="1954"/>
      <c r="AF264" s="1954"/>
      <c r="AI264" s="1735" t="str">
        <f>"22:jyakuninti_uke_code:" &amp; IF(I264="■",1,IF(L264="■",2,0))</f>
        <v>22:jyakuninti_uke_code:0</v>
      </c>
    </row>
    <row r="265" spans="1:35" s="1735" customFormat="1" ht="18.75" hidden="1" customHeight="1">
      <c r="A265" s="1766"/>
      <c r="B265" s="1765"/>
      <c r="C265" s="1764"/>
      <c r="D265" s="1763"/>
      <c r="E265" s="1762"/>
      <c r="F265" s="1763"/>
      <c r="G265" s="1793"/>
      <c r="H265" s="1769" t="s">
        <v>1666</v>
      </c>
      <c r="I265" s="1773" t="s">
        <v>194</v>
      </c>
      <c r="J265" s="1754" t="s">
        <v>755</v>
      </c>
      <c r="K265" s="1789"/>
      <c r="L265" s="1791"/>
      <c r="M265" s="1772" t="s">
        <v>194</v>
      </c>
      <c r="N265" s="1754" t="s">
        <v>756</v>
      </c>
      <c r="O265" s="1768"/>
      <c r="P265" s="1768"/>
      <c r="Q265" s="1768"/>
      <c r="R265" s="1768"/>
      <c r="S265" s="1768"/>
      <c r="T265" s="1768"/>
      <c r="U265" s="1768"/>
      <c r="V265" s="1768"/>
      <c r="W265" s="1768"/>
      <c r="X265" s="1767"/>
      <c r="Y265" s="1914"/>
      <c r="Z265" s="1913"/>
      <c r="AA265" s="1913"/>
      <c r="AB265" s="1794"/>
      <c r="AC265" s="1954"/>
      <c r="AD265" s="1954"/>
      <c r="AE265" s="1954"/>
      <c r="AF265" s="1954"/>
      <c r="AI265" s="1735" t="str">
        <f>"22:sougei_code:" &amp; IF(I265="■",1,IF(M265="■",2,0))</f>
        <v>22:sougei_code:0</v>
      </c>
    </row>
    <row r="266" spans="1:35" s="1735" customFormat="1" ht="19.5" hidden="1" customHeight="1">
      <c r="A266" s="1766"/>
      <c r="B266" s="1765"/>
      <c r="C266" s="1764"/>
      <c r="D266" s="1763"/>
      <c r="E266" s="1762"/>
      <c r="F266" s="1761"/>
      <c r="G266" s="1793"/>
      <c r="H266" s="1792" t="s">
        <v>1516</v>
      </c>
      <c r="I266" s="1773" t="s">
        <v>194</v>
      </c>
      <c r="J266" s="1754" t="s">
        <v>750</v>
      </c>
      <c r="K266" s="1754"/>
      <c r="L266" s="1772" t="s">
        <v>194</v>
      </c>
      <c r="M266" s="1754" t="s">
        <v>764</v>
      </c>
      <c r="N266" s="1754"/>
      <c r="O266" s="1768"/>
      <c r="P266" s="1754"/>
      <c r="Q266" s="1768"/>
      <c r="R266" s="1768"/>
      <c r="S266" s="1768"/>
      <c r="T266" s="1768"/>
      <c r="U266" s="1768"/>
      <c r="V266" s="1768"/>
      <c r="W266" s="1768"/>
      <c r="X266" s="1767"/>
      <c r="Y266" s="1913"/>
      <c r="Z266" s="1913"/>
      <c r="AA266" s="1913"/>
      <c r="AB266" s="1794"/>
      <c r="AC266" s="1954"/>
      <c r="AD266" s="1954"/>
      <c r="AE266" s="1954"/>
      <c r="AF266" s="1954"/>
      <c r="AI266" s="1735" t="str">
        <f>"22:field224:" &amp; IF(I266="■",1,IF(L266="■",2,0))</f>
        <v>22:field224:0</v>
      </c>
    </row>
    <row r="267" spans="1:35" s="1735" customFormat="1" ht="18.75" hidden="1" customHeight="1">
      <c r="A267" s="1766"/>
      <c r="B267" s="1765"/>
      <c r="C267" s="1764"/>
      <c r="D267" s="1763"/>
      <c r="E267" s="1762"/>
      <c r="F267" s="1763"/>
      <c r="G267" s="1793"/>
      <c r="H267" s="1769" t="s">
        <v>787</v>
      </c>
      <c r="I267" s="1773" t="s">
        <v>194</v>
      </c>
      <c r="J267" s="1754" t="s">
        <v>750</v>
      </c>
      <c r="K267" s="1789"/>
      <c r="L267" s="1772" t="s">
        <v>194</v>
      </c>
      <c r="M267" s="1754" t="s">
        <v>764</v>
      </c>
      <c r="N267" s="1768"/>
      <c r="O267" s="1768"/>
      <c r="P267" s="1768"/>
      <c r="Q267" s="1768"/>
      <c r="R267" s="1768"/>
      <c r="S267" s="1768"/>
      <c r="T267" s="1768"/>
      <c r="U267" s="1768"/>
      <c r="V267" s="1768"/>
      <c r="W267" s="1768"/>
      <c r="X267" s="1767"/>
      <c r="Y267" s="1914"/>
      <c r="Z267" s="1913"/>
      <c r="AA267" s="1913"/>
      <c r="AB267" s="1794"/>
      <c r="AC267" s="1954"/>
      <c r="AD267" s="1954"/>
      <c r="AE267" s="1954"/>
      <c r="AF267" s="1954"/>
      <c r="AI267" s="1735" t="str">
        <f>"22:ryouyoushoku_code:" &amp; IF(I267="■",1,IF(L267="■",2,0))</f>
        <v>22:ryouyoushoku_code:0</v>
      </c>
    </row>
    <row r="268" spans="1:35" s="1735" customFormat="1" ht="18.75" hidden="1" customHeight="1">
      <c r="A268" s="1766"/>
      <c r="B268" s="1765"/>
      <c r="C268" s="1764"/>
      <c r="D268" s="1763"/>
      <c r="E268" s="1762"/>
      <c r="F268" s="1763"/>
      <c r="G268" s="1793"/>
      <c r="H268" s="1769" t="s">
        <v>1681</v>
      </c>
      <c r="I268" s="1773" t="s">
        <v>194</v>
      </c>
      <c r="J268" s="1754" t="s">
        <v>750</v>
      </c>
      <c r="K268" s="1754"/>
      <c r="L268" s="1772" t="s">
        <v>194</v>
      </c>
      <c r="M268" s="1754" t="s">
        <v>784</v>
      </c>
      <c r="N268" s="1754"/>
      <c r="O268" s="1772" t="s">
        <v>194</v>
      </c>
      <c r="P268" s="1754" t="s">
        <v>785</v>
      </c>
      <c r="Q268" s="1768"/>
      <c r="R268" s="1768"/>
      <c r="S268" s="1768"/>
      <c r="T268" s="1768"/>
      <c r="U268" s="1768"/>
      <c r="V268" s="1768"/>
      <c r="W268" s="1768"/>
      <c r="X268" s="1767"/>
      <c r="Y268" s="1914"/>
      <c r="Z268" s="1913"/>
      <c r="AA268" s="1913"/>
      <c r="AB268" s="1794"/>
      <c r="AC268" s="1954"/>
      <c r="AD268" s="1954"/>
      <c r="AE268" s="1954"/>
      <c r="AF268" s="1954"/>
      <c r="AI268" s="1735" t="str">
        <f>"22:ninti_senmoncare_code:" &amp; IF(I268="■",1,IF(O268="■",3,IF(L268="■",2,0)))</f>
        <v>22:ninti_senmoncare_code:0</v>
      </c>
    </row>
    <row r="269" spans="1:35" s="1735" customFormat="1" ht="18.75" hidden="1" customHeight="1">
      <c r="A269" s="1766"/>
      <c r="B269" s="1765"/>
      <c r="C269" s="1764"/>
      <c r="D269" s="1763"/>
      <c r="E269" s="1762"/>
      <c r="F269" s="1763"/>
      <c r="G269" s="1793"/>
      <c r="H269" s="1917" t="s">
        <v>794</v>
      </c>
      <c r="I269" s="1773" t="s">
        <v>194</v>
      </c>
      <c r="J269" s="1754" t="s">
        <v>750</v>
      </c>
      <c r="K269" s="1754"/>
      <c r="L269" s="1772" t="s">
        <v>194</v>
      </c>
      <c r="M269" s="1754" t="s">
        <v>784</v>
      </c>
      <c r="N269" s="1754"/>
      <c r="O269" s="1772" t="s">
        <v>194</v>
      </c>
      <c r="P269" s="1754" t="s">
        <v>785</v>
      </c>
      <c r="Q269" s="1768"/>
      <c r="R269" s="1768"/>
      <c r="S269" s="1768"/>
      <c r="T269" s="1768"/>
      <c r="U269" s="1829"/>
      <c r="V269" s="1829"/>
      <c r="W269" s="1829"/>
      <c r="X269" s="1828"/>
      <c r="Y269" s="1914"/>
      <c r="Z269" s="1913"/>
      <c r="AA269" s="1913"/>
      <c r="AB269" s="1794"/>
      <c r="AC269" s="1954"/>
      <c r="AD269" s="1954"/>
      <c r="AE269" s="1954"/>
      <c r="AF269" s="1954"/>
      <c r="AI269" s="1735" t="str">
        <f>"22:field225:" &amp; IF(I269="■",1,IF(L269="■",2,IF(O269="■",3,0)))</f>
        <v>22:field225:0</v>
      </c>
    </row>
    <row r="270" spans="1:35" s="1735" customFormat="1" ht="18.75" hidden="1" customHeight="1">
      <c r="A270" s="1766"/>
      <c r="B270" s="1765"/>
      <c r="C270" s="1764"/>
      <c r="D270" s="1763"/>
      <c r="E270" s="1762"/>
      <c r="F270" s="1763"/>
      <c r="G270" s="1793"/>
      <c r="H270" s="1777" t="s">
        <v>795</v>
      </c>
      <c r="I270" s="1773" t="s">
        <v>194</v>
      </c>
      <c r="J270" s="1754" t="s">
        <v>750</v>
      </c>
      <c r="K270" s="1754"/>
      <c r="L270" s="1772" t="s">
        <v>194</v>
      </c>
      <c r="M270" s="1754" t="s">
        <v>796</v>
      </c>
      <c r="N270" s="1754"/>
      <c r="O270" s="1772" t="s">
        <v>194</v>
      </c>
      <c r="P270" s="1754" t="s">
        <v>797</v>
      </c>
      <c r="Q270" s="1771"/>
      <c r="R270" s="1772" t="s">
        <v>194</v>
      </c>
      <c r="S270" s="1754" t="s">
        <v>798</v>
      </c>
      <c r="T270" s="1771"/>
      <c r="U270" s="1771"/>
      <c r="V270" s="1771"/>
      <c r="W270" s="1771"/>
      <c r="X270" s="1770"/>
      <c r="Y270" s="1914"/>
      <c r="Z270" s="1913"/>
      <c r="AA270" s="1913"/>
      <c r="AB270" s="1794"/>
      <c r="AC270" s="1954"/>
      <c r="AD270" s="1954"/>
      <c r="AE270" s="1954"/>
      <c r="AF270" s="1954"/>
      <c r="AI270" s="1735" t="str">
        <f>"22:serteikyo_kyoka_code:" &amp; IF(I270="■",1,IF(L270="■",6,IF(O270="■",5,IF(R270="■",7,0))))</f>
        <v>22:serteikyo_kyoka_code:0</v>
      </c>
    </row>
    <row r="271" spans="1:35" s="1735" customFormat="1" ht="18.75" hidden="1" customHeight="1">
      <c r="A271" s="1766"/>
      <c r="B271" s="1765"/>
      <c r="C271" s="1764"/>
      <c r="D271" s="1763"/>
      <c r="E271" s="1762"/>
      <c r="F271" s="1763"/>
      <c r="G271" s="1793"/>
      <c r="H271" s="1788" t="s">
        <v>1665</v>
      </c>
      <c r="I271" s="1969" t="s">
        <v>194</v>
      </c>
      <c r="J271" s="1968" t="s">
        <v>750</v>
      </c>
      <c r="K271" s="1968"/>
      <c r="L271" s="1967" t="s">
        <v>194</v>
      </c>
      <c r="M271" s="1968" t="s">
        <v>764</v>
      </c>
      <c r="N271" s="1968"/>
      <c r="O271" s="1923"/>
      <c r="P271" s="1923"/>
      <c r="Q271" s="1923"/>
      <c r="R271" s="1923"/>
      <c r="S271" s="1923"/>
      <c r="T271" s="1923"/>
      <c r="U271" s="1923"/>
      <c r="V271" s="1923"/>
      <c r="W271" s="1923"/>
      <c r="X271" s="1956"/>
      <c r="Y271" s="1914"/>
      <c r="Z271" s="1913"/>
      <c r="AA271" s="1913"/>
      <c r="AB271" s="1794"/>
      <c r="AC271" s="1954"/>
      <c r="AD271" s="1954"/>
      <c r="AE271" s="1954"/>
      <c r="AF271" s="1954"/>
      <c r="AI271" s="1735" t="str">
        <f>"22:field221:" &amp; IF(I271="■",1,IF(L271="■",2,0))</f>
        <v>22:field221:0</v>
      </c>
    </row>
    <row r="272" spans="1:35" s="1735" customFormat="1" ht="18.75" hidden="1" customHeight="1">
      <c r="A272" s="1766"/>
      <c r="B272" s="1765"/>
      <c r="C272" s="1764"/>
      <c r="D272" s="1763"/>
      <c r="E272" s="1762"/>
      <c r="F272" s="1763"/>
      <c r="G272" s="1793"/>
      <c r="H272" s="1783"/>
      <c r="I272" s="1969"/>
      <c r="J272" s="1968"/>
      <c r="K272" s="1968"/>
      <c r="L272" s="1967"/>
      <c r="M272" s="1968"/>
      <c r="N272" s="1968"/>
      <c r="O272" s="1756"/>
      <c r="P272" s="1756"/>
      <c r="Q272" s="1756"/>
      <c r="R272" s="1756"/>
      <c r="S272" s="1756"/>
      <c r="T272" s="1756"/>
      <c r="U272" s="1756"/>
      <c r="V272" s="1756"/>
      <c r="W272" s="1756"/>
      <c r="X272" s="1814"/>
      <c r="Y272" s="1914"/>
      <c r="Z272" s="1913"/>
      <c r="AA272" s="1913"/>
      <c r="AB272" s="1794"/>
      <c r="AC272" s="1954"/>
      <c r="AD272" s="1954"/>
      <c r="AE272" s="1954"/>
      <c r="AF272" s="1954"/>
    </row>
    <row r="273" spans="1:36" s="1735" customFormat="1" ht="18.75" hidden="1" customHeight="1">
      <c r="A273" s="1766"/>
      <c r="B273" s="1765"/>
      <c r="C273" s="1764"/>
      <c r="D273" s="1763"/>
      <c r="E273" s="1762"/>
      <c r="F273" s="1761"/>
      <c r="G273" s="1793"/>
      <c r="H273" s="1952" t="s">
        <v>1553</v>
      </c>
      <c r="I273" s="1924" t="s">
        <v>194</v>
      </c>
      <c r="J273" s="1948" t="s">
        <v>750</v>
      </c>
      <c r="K273" s="1948"/>
      <c r="L273" s="1922" t="s">
        <v>194</v>
      </c>
      <c r="M273" s="1948" t="s">
        <v>1552</v>
      </c>
      <c r="N273" s="1951"/>
      <c r="O273" s="1922" t="s">
        <v>194</v>
      </c>
      <c r="P273" s="1950" t="s">
        <v>1551</v>
      </c>
      <c r="Q273" s="1949"/>
      <c r="R273" s="1922" t="s">
        <v>194</v>
      </c>
      <c r="S273" s="1948" t="s">
        <v>1550</v>
      </c>
      <c r="T273" s="1949"/>
      <c r="U273" s="1922" t="s">
        <v>194</v>
      </c>
      <c r="V273" s="1948" t="s">
        <v>1549</v>
      </c>
      <c r="W273" s="1947"/>
      <c r="X273" s="1946"/>
      <c r="Y273" s="1913"/>
      <c r="Z273" s="1913"/>
      <c r="AA273" s="1913"/>
      <c r="AB273" s="1794"/>
      <c r="AC273" s="1954"/>
      <c r="AD273" s="1954"/>
      <c r="AE273" s="1954"/>
      <c r="AF273" s="1954"/>
      <c r="AI273" s="1735" t="str">
        <f>"22:shoguukaizen_code:"&amp;IF(I273="■",1,IF(L273="■",7,IF(O273="■",8,IF(R273="■",9,IF(U273="■","A",0)))))</f>
        <v>22:shoguukaizen_code:0</v>
      </c>
    </row>
    <row r="274" spans="1:36" s="1735" customFormat="1" ht="18.75" hidden="1" customHeight="1">
      <c r="A274" s="1807"/>
      <c r="B274" s="1806"/>
      <c r="C274" s="1849"/>
      <c r="D274" s="1848"/>
      <c r="E274" s="1804"/>
      <c r="F274" s="1848"/>
      <c r="G274" s="1802"/>
      <c r="H274" s="1801" t="s">
        <v>746</v>
      </c>
      <c r="I274" s="1800" t="s">
        <v>194</v>
      </c>
      <c r="J274" s="1799" t="s">
        <v>747</v>
      </c>
      <c r="K274" s="1846"/>
      <c r="L274" s="1845"/>
      <c r="M274" s="1798" t="s">
        <v>194</v>
      </c>
      <c r="N274" s="1799" t="s">
        <v>748</v>
      </c>
      <c r="O274" s="1796"/>
      <c r="P274" s="1796"/>
      <c r="Q274" s="1796"/>
      <c r="R274" s="1796"/>
      <c r="S274" s="1796"/>
      <c r="T274" s="1796"/>
      <c r="U274" s="1796"/>
      <c r="V274" s="1796"/>
      <c r="W274" s="1796"/>
      <c r="X274" s="1795"/>
      <c r="Y274" s="1873" t="s">
        <v>194</v>
      </c>
      <c r="Z274" s="1872" t="s">
        <v>749</v>
      </c>
      <c r="AA274" s="1872"/>
      <c r="AB274" s="1929"/>
      <c r="AC274" s="1959"/>
      <c r="AD274" s="1959"/>
      <c r="AE274" s="1959"/>
      <c r="AF274" s="1959"/>
      <c r="AG274" s="1735" t="str">
        <f>"ser_code = '" &amp; IF(A282="■",22,"") &amp; "'"</f>
        <v>ser_code = ''</v>
      </c>
      <c r="AI274" s="1735" t="str">
        <f>"22:yakan_kinmu_code:" &amp; IF(I274="■",1,IF(M274="■",6,0))</f>
        <v>22:yakan_kinmu_code:0</v>
      </c>
      <c r="AJ274" s="1735" t="str">
        <f>"22:field203:" &amp; IF(Y274="■",1,IF(Y275="■",2,0))</f>
        <v>22:field203:0</v>
      </c>
    </row>
    <row r="275" spans="1:36" s="1735" customFormat="1" ht="18.75" hidden="1" customHeight="1">
      <c r="A275" s="1766"/>
      <c r="B275" s="1765"/>
      <c r="C275" s="1764"/>
      <c r="D275" s="1763"/>
      <c r="E275" s="1762"/>
      <c r="F275" s="1763"/>
      <c r="G275" s="1793"/>
      <c r="H275" s="1925" t="s">
        <v>1717</v>
      </c>
      <c r="I275" s="1924" t="s">
        <v>194</v>
      </c>
      <c r="J275" s="1923" t="s">
        <v>750</v>
      </c>
      <c r="K275" s="1923"/>
      <c r="L275" s="1937"/>
      <c r="M275" s="1922" t="s">
        <v>194</v>
      </c>
      <c r="N275" s="1923" t="s">
        <v>1568</v>
      </c>
      <c r="O275" s="1923"/>
      <c r="P275" s="1937"/>
      <c r="Q275" s="1922" t="s">
        <v>194</v>
      </c>
      <c r="R275" s="1785" t="s">
        <v>1615</v>
      </c>
      <c r="S275" s="1785"/>
      <c r="T275" s="1785"/>
      <c r="U275" s="1922" t="s">
        <v>194</v>
      </c>
      <c r="V275" s="1785" t="s">
        <v>1614</v>
      </c>
      <c r="W275" s="1785"/>
      <c r="X275" s="1784"/>
      <c r="Y275" s="1878" t="s">
        <v>194</v>
      </c>
      <c r="Z275" s="1738" t="s">
        <v>754</v>
      </c>
      <c r="AA275" s="1913"/>
      <c r="AB275" s="1794"/>
      <c r="AC275" s="1954"/>
      <c r="AD275" s="1954"/>
      <c r="AE275" s="1954"/>
      <c r="AF275" s="1954"/>
      <c r="AG275" s="1735" t="str">
        <f>"22:sisetukbn_code:" &amp; IF(D282="■","A",0)</f>
        <v>22:sisetukbn_code:0</v>
      </c>
      <c r="AI275" s="1735" t="str">
        <f>"22:"&amp;IF(AND(I275="□",M275="□",Q275="□",U275="□",I276="□",M276="□",Q276="□"),"ketu_doctor_code:0",IF(I275="■","ketu_doctor_code:1:ketu_kangos_code:1:ketu_kshoku_code:1:ketu_rryoho_code:1:ketu_sryoho_code:1:ketu_gengo_code:1",
IF(M275="■","ketu_doctor_code:2","ketu_doctor_code:1")
&amp;IF(Q275="■",":ketu_kangos_code:2",":ketu_kangos_code:1")
&amp;IF(U275="■",":ketu_kshoku_code:2",":ketu_kshoku_code:1")
&amp;IF(I276="■",":ketu_rryoho_code:2",":ketu_rryoho_code:1")
&amp;IF(M276="■",":ketu_sryoho_code:2",":ketu_sryoho_code:1")
&amp;IF(Q276="■",":ketu_gengo_code:2",":ketu_gengo_code:1")))</f>
        <v>22:ketu_doctor_code:0</v>
      </c>
    </row>
    <row r="276" spans="1:36" s="1735" customFormat="1" ht="18.75" hidden="1" customHeight="1">
      <c r="A276" s="1766"/>
      <c r="B276" s="1765"/>
      <c r="C276" s="1764"/>
      <c r="D276" s="1763"/>
      <c r="E276" s="1762"/>
      <c r="F276" s="1763"/>
      <c r="G276" s="1793"/>
      <c r="H276" s="1921"/>
      <c r="I276" s="1758" t="s">
        <v>194</v>
      </c>
      <c r="J276" s="1756" t="s">
        <v>1613</v>
      </c>
      <c r="K276" s="1756"/>
      <c r="L276" s="2006"/>
      <c r="M276" s="1757" t="s">
        <v>194</v>
      </c>
      <c r="N276" s="1756" t="s">
        <v>1612</v>
      </c>
      <c r="O276" s="1756"/>
      <c r="P276" s="2006"/>
      <c r="Q276" s="1757" t="s">
        <v>194</v>
      </c>
      <c r="R276" s="1780" t="s">
        <v>1716</v>
      </c>
      <c r="S276" s="1780"/>
      <c r="T276" s="1780"/>
      <c r="U276" s="1780"/>
      <c r="V276" s="1780"/>
      <c r="W276" s="1780"/>
      <c r="X276" s="1779"/>
      <c r="Y276" s="1914"/>
      <c r="Z276" s="1913"/>
      <c r="AA276" s="1913"/>
      <c r="AB276" s="1794"/>
      <c r="AC276" s="1954"/>
      <c r="AD276" s="1954"/>
      <c r="AE276" s="1954"/>
      <c r="AF276" s="1954"/>
    </row>
    <row r="277" spans="1:36" s="1735" customFormat="1" ht="18.75" hidden="1" customHeight="1">
      <c r="A277" s="1766"/>
      <c r="B277" s="1765"/>
      <c r="C277" s="1764"/>
      <c r="D277" s="1763"/>
      <c r="E277" s="1762"/>
      <c r="F277" s="1763"/>
      <c r="G277" s="1793"/>
      <c r="H277" s="1769" t="s">
        <v>99</v>
      </c>
      <c r="I277" s="1773" t="s">
        <v>194</v>
      </c>
      <c r="J277" s="1754" t="s">
        <v>755</v>
      </c>
      <c r="K277" s="1789"/>
      <c r="L277" s="1791"/>
      <c r="M277" s="1772" t="s">
        <v>194</v>
      </c>
      <c r="N277" s="1754" t="s">
        <v>756</v>
      </c>
      <c r="O277" s="1768"/>
      <c r="P277" s="1768"/>
      <c r="Q277" s="1768"/>
      <c r="R277" s="1768"/>
      <c r="S277" s="1768"/>
      <c r="T277" s="1768"/>
      <c r="U277" s="1768"/>
      <c r="V277" s="1768"/>
      <c r="W277" s="1768"/>
      <c r="X277" s="1767"/>
      <c r="Y277" s="1914"/>
      <c r="Z277" s="1913"/>
      <c r="AA277" s="1913"/>
      <c r="AB277" s="1794"/>
      <c r="AC277" s="1954"/>
      <c r="AD277" s="1954"/>
      <c r="AE277" s="1954"/>
      <c r="AF277" s="1954"/>
      <c r="AI277" s="1735" t="str">
        <f>"22:unitcare_code:" &amp; IF(I277="■",1,IF(M277="■",2,0))</f>
        <v>22:unitcare_code:0</v>
      </c>
    </row>
    <row r="278" spans="1:36" s="1735" customFormat="1" ht="18.75" hidden="1" customHeight="1">
      <c r="A278" s="1766"/>
      <c r="B278" s="1765"/>
      <c r="C278" s="1916"/>
      <c r="D278" s="1915"/>
      <c r="E278" s="1762"/>
      <c r="F278" s="1761"/>
      <c r="G278" s="1793"/>
      <c r="H278" s="2002" t="s">
        <v>757</v>
      </c>
      <c r="I278" s="1842" t="s">
        <v>194</v>
      </c>
      <c r="J278" s="1837" t="s">
        <v>758</v>
      </c>
      <c r="K278" s="1841"/>
      <c r="L278" s="1840"/>
      <c r="M278" s="1839" t="s">
        <v>194</v>
      </c>
      <c r="N278" s="1837" t="s">
        <v>759</v>
      </c>
      <c r="O278" s="1841"/>
      <c r="P278" s="2001"/>
      <c r="Q278" s="2001"/>
      <c r="R278" s="2001"/>
      <c r="S278" s="2001"/>
      <c r="T278" s="2001"/>
      <c r="U278" s="2001"/>
      <c r="V278" s="2001"/>
      <c r="W278" s="2001"/>
      <c r="X278" s="2000"/>
      <c r="Y278" s="1914"/>
      <c r="Z278" s="1913"/>
      <c r="AA278" s="1913"/>
      <c r="AB278" s="1794"/>
      <c r="AC278" s="1954"/>
      <c r="AD278" s="1954"/>
      <c r="AE278" s="1954"/>
      <c r="AF278" s="1954"/>
      <c r="AI278" s="1735" t="str">
        <f>"22:sintaikousoku_code:" &amp; IF(I278="■",1,IF(M278="■",2,0))</f>
        <v>22:sintaikousoku_code:0</v>
      </c>
    </row>
    <row r="279" spans="1:36" s="1735" customFormat="1" ht="19.5" hidden="1" customHeight="1">
      <c r="A279" s="1766"/>
      <c r="B279" s="1765"/>
      <c r="C279" s="1764"/>
      <c r="D279" s="1763"/>
      <c r="E279" s="1762"/>
      <c r="F279" s="1761"/>
      <c r="G279" s="1793"/>
      <c r="H279" s="1792" t="s">
        <v>760</v>
      </c>
      <c r="I279" s="1773" t="s">
        <v>194</v>
      </c>
      <c r="J279" s="1754" t="s">
        <v>758</v>
      </c>
      <c r="K279" s="1789"/>
      <c r="L279" s="1791"/>
      <c r="M279" s="1772" t="s">
        <v>194</v>
      </c>
      <c r="N279" s="1754" t="s">
        <v>761</v>
      </c>
      <c r="O279" s="1920"/>
      <c r="P279" s="1754"/>
      <c r="Q279" s="1768"/>
      <c r="R279" s="1768"/>
      <c r="S279" s="1768"/>
      <c r="T279" s="1768"/>
      <c r="U279" s="1768"/>
      <c r="V279" s="1768"/>
      <c r="W279" s="1768"/>
      <c r="X279" s="1767"/>
      <c r="Y279" s="1913"/>
      <c r="Z279" s="1913"/>
      <c r="AA279" s="1913"/>
      <c r="AB279" s="1794"/>
      <c r="AC279" s="1954"/>
      <c r="AD279" s="1954"/>
      <c r="AE279" s="1954"/>
      <c r="AF279" s="1954"/>
      <c r="AI279" s="1735" t="str">
        <f>"22:field223:" &amp; IF(I279="■",1,IF(M279="■",2,0))</f>
        <v>22:field223:0</v>
      </c>
    </row>
    <row r="280" spans="1:36" s="1735" customFormat="1" ht="19.5" hidden="1" customHeight="1">
      <c r="A280" s="1766"/>
      <c r="B280" s="1765"/>
      <c r="C280" s="1764"/>
      <c r="D280" s="1763"/>
      <c r="E280" s="1762"/>
      <c r="F280" s="1761"/>
      <c r="G280" s="1793"/>
      <c r="H280" s="1792" t="s">
        <v>762</v>
      </c>
      <c r="I280" s="1773" t="s">
        <v>194</v>
      </c>
      <c r="J280" s="1754" t="s">
        <v>758</v>
      </c>
      <c r="K280" s="1789"/>
      <c r="L280" s="1791"/>
      <c r="M280" s="1772" t="s">
        <v>194</v>
      </c>
      <c r="N280" s="1754" t="s">
        <v>761</v>
      </c>
      <c r="O280" s="1920"/>
      <c r="P280" s="1754"/>
      <c r="Q280" s="1768"/>
      <c r="R280" s="1768"/>
      <c r="S280" s="1768"/>
      <c r="T280" s="1768"/>
      <c r="U280" s="1768"/>
      <c r="V280" s="1768"/>
      <c r="W280" s="1768"/>
      <c r="X280" s="1767"/>
      <c r="Y280" s="1913"/>
      <c r="Z280" s="1913"/>
      <c r="AA280" s="1913"/>
      <c r="AB280" s="1794"/>
      <c r="AC280" s="1954"/>
      <c r="AD280" s="1954"/>
      <c r="AE280" s="1954"/>
      <c r="AF280" s="1954"/>
      <c r="AI280" s="1735" t="str">
        <f>"22:field232:" &amp; IF(I280="■",1,IF(M280="■",2,0))</f>
        <v>22:field232:0</v>
      </c>
    </row>
    <row r="281" spans="1:36" s="1735" customFormat="1" ht="18.75" hidden="1" customHeight="1">
      <c r="A281" s="1766"/>
      <c r="B281" s="1765"/>
      <c r="C281" s="1764"/>
      <c r="D281" s="1763"/>
      <c r="E281" s="1762"/>
      <c r="F281" s="1763"/>
      <c r="G281" s="1793"/>
      <c r="H281" s="1769" t="s">
        <v>768</v>
      </c>
      <c r="I281" s="1773" t="s">
        <v>194</v>
      </c>
      <c r="J281" s="1754" t="s">
        <v>750</v>
      </c>
      <c r="K281" s="1789"/>
      <c r="L281" s="1772" t="s">
        <v>194</v>
      </c>
      <c r="M281" s="1754" t="s">
        <v>764</v>
      </c>
      <c r="N281" s="1768"/>
      <c r="O281" s="1768"/>
      <c r="P281" s="1768"/>
      <c r="Q281" s="1768"/>
      <c r="R281" s="1768"/>
      <c r="S281" s="1768"/>
      <c r="T281" s="1768"/>
      <c r="U281" s="1768"/>
      <c r="V281" s="1768"/>
      <c r="W281" s="1768"/>
      <c r="X281" s="1767"/>
      <c r="Y281" s="1914"/>
      <c r="Z281" s="1913"/>
      <c r="AA281" s="1913"/>
      <c r="AB281" s="1794"/>
      <c r="AC281" s="1954"/>
      <c r="AD281" s="1954"/>
      <c r="AE281" s="1954"/>
      <c r="AF281" s="1954"/>
      <c r="AI281" s="1735" t="str">
        <f>"22:yakinhaiti_code:" &amp; IF(I281="■",1,IF(L281="■",2,0))</f>
        <v>22:yakinhaiti_code:0</v>
      </c>
    </row>
    <row r="282" spans="1:36" s="1735" customFormat="1" ht="18.75" hidden="1" customHeight="1">
      <c r="A282" s="1776" t="s">
        <v>194</v>
      </c>
      <c r="B282" s="1765">
        <v>22</v>
      </c>
      <c r="C282" s="1764" t="s">
        <v>1668</v>
      </c>
      <c r="D282" s="1878" t="s">
        <v>194</v>
      </c>
      <c r="E282" s="1762" t="s">
        <v>1715</v>
      </c>
      <c r="F282" s="1763"/>
      <c r="G282" s="1793"/>
      <c r="H282" s="1769" t="s">
        <v>1607</v>
      </c>
      <c r="I282" s="1773" t="s">
        <v>194</v>
      </c>
      <c r="J282" s="1754" t="s">
        <v>750</v>
      </c>
      <c r="K282" s="1789"/>
      <c r="L282" s="1772" t="s">
        <v>194</v>
      </c>
      <c r="M282" s="1754" t="s">
        <v>764</v>
      </c>
      <c r="N282" s="1768"/>
      <c r="O282" s="1768"/>
      <c r="P282" s="1768"/>
      <c r="Q282" s="1768"/>
      <c r="R282" s="1768"/>
      <c r="S282" s="1768"/>
      <c r="T282" s="1768"/>
      <c r="U282" s="1768"/>
      <c r="V282" s="1768"/>
      <c r="W282" s="1768"/>
      <c r="X282" s="1767"/>
      <c r="Y282" s="1914"/>
      <c r="Z282" s="1913"/>
      <c r="AA282" s="1913"/>
      <c r="AB282" s="1794"/>
      <c r="AC282" s="1954"/>
      <c r="AD282" s="1954"/>
      <c r="AE282" s="1954"/>
      <c r="AF282" s="1954"/>
      <c r="AI282" s="1735" t="str">
        <f>"22:ninticare_code:" &amp; IF(I282="■",1,IF(L282="■",2,0))</f>
        <v>22:ninticare_code:0</v>
      </c>
    </row>
    <row r="283" spans="1:36" s="1735" customFormat="1" ht="18.75" hidden="1" customHeight="1">
      <c r="A283" s="1766"/>
      <c r="B283" s="1765"/>
      <c r="C283" s="1764"/>
      <c r="D283" s="1763"/>
      <c r="E283" s="1762"/>
      <c r="F283" s="1763"/>
      <c r="G283" s="1793"/>
      <c r="H283" s="1769" t="s">
        <v>1498</v>
      </c>
      <c r="I283" s="1773" t="s">
        <v>194</v>
      </c>
      <c r="J283" s="1754" t="s">
        <v>750</v>
      </c>
      <c r="K283" s="1789"/>
      <c r="L283" s="1772" t="s">
        <v>194</v>
      </c>
      <c r="M283" s="1754" t="s">
        <v>764</v>
      </c>
      <c r="N283" s="1768"/>
      <c r="O283" s="1768"/>
      <c r="P283" s="1768"/>
      <c r="Q283" s="1768"/>
      <c r="R283" s="1768"/>
      <c r="S283" s="1768"/>
      <c r="T283" s="1768"/>
      <c r="U283" s="1768"/>
      <c r="V283" s="1768"/>
      <c r="W283" s="1768"/>
      <c r="X283" s="1767"/>
      <c r="Y283" s="1914"/>
      <c r="Z283" s="1913"/>
      <c r="AA283" s="1913"/>
      <c r="AB283" s="1794"/>
      <c r="AC283" s="1954"/>
      <c r="AD283" s="1954"/>
      <c r="AE283" s="1954"/>
      <c r="AF283" s="1954"/>
      <c r="AI283" s="1735" t="str">
        <f>"22:jyakuninti_uke_code:" &amp; IF(I283="■",1,IF(L283="■",2,0))</f>
        <v>22:jyakuninti_uke_code:0</v>
      </c>
    </row>
    <row r="284" spans="1:36" s="1735" customFormat="1" ht="18.75" hidden="1" customHeight="1">
      <c r="A284" s="1766"/>
      <c r="B284" s="1765"/>
      <c r="C284" s="1764"/>
      <c r="D284" s="1763"/>
      <c r="E284" s="1762"/>
      <c r="F284" s="1763"/>
      <c r="G284" s="1793"/>
      <c r="H284" s="1769" t="s">
        <v>1666</v>
      </c>
      <c r="I284" s="1773" t="s">
        <v>194</v>
      </c>
      <c r="J284" s="1754" t="s">
        <v>755</v>
      </c>
      <c r="K284" s="1789"/>
      <c r="L284" s="1791"/>
      <c r="M284" s="1772" t="s">
        <v>194</v>
      </c>
      <c r="N284" s="1754" t="s">
        <v>756</v>
      </c>
      <c r="O284" s="1768"/>
      <c r="P284" s="1768"/>
      <c r="Q284" s="1768"/>
      <c r="R284" s="1768"/>
      <c r="S284" s="1768"/>
      <c r="T284" s="1768"/>
      <c r="U284" s="1768"/>
      <c r="V284" s="1768"/>
      <c r="W284" s="1768"/>
      <c r="X284" s="1767"/>
      <c r="Y284" s="1914"/>
      <c r="Z284" s="1913"/>
      <c r="AA284" s="1913"/>
      <c r="AB284" s="1794"/>
      <c r="AC284" s="1954"/>
      <c r="AD284" s="1954"/>
      <c r="AE284" s="1954"/>
      <c r="AF284" s="1954"/>
      <c r="AI284" s="1735" t="str">
        <f>"22:sougei_code:" &amp; IF(I284="■",1,IF(M284="■",2,0))</f>
        <v>22:sougei_code:0</v>
      </c>
    </row>
    <row r="285" spans="1:36" s="1735" customFormat="1" ht="19.5" hidden="1" customHeight="1">
      <c r="A285" s="1766"/>
      <c r="B285" s="1765"/>
      <c r="C285" s="1764"/>
      <c r="D285" s="1763"/>
      <c r="E285" s="1762"/>
      <c r="F285" s="1761"/>
      <c r="G285" s="1793"/>
      <c r="H285" s="1792" t="s">
        <v>1516</v>
      </c>
      <c r="I285" s="1773" t="s">
        <v>194</v>
      </c>
      <c r="J285" s="1754" t="s">
        <v>750</v>
      </c>
      <c r="K285" s="1754"/>
      <c r="L285" s="1772" t="s">
        <v>194</v>
      </c>
      <c r="M285" s="1754" t="s">
        <v>764</v>
      </c>
      <c r="N285" s="1754"/>
      <c r="O285" s="1768"/>
      <c r="P285" s="1754"/>
      <c r="Q285" s="1768"/>
      <c r="R285" s="1768"/>
      <c r="S285" s="1768"/>
      <c r="T285" s="1768"/>
      <c r="U285" s="1768"/>
      <c r="V285" s="1768"/>
      <c r="W285" s="1768"/>
      <c r="X285" s="1767"/>
      <c r="Y285" s="1913"/>
      <c r="Z285" s="1913"/>
      <c r="AA285" s="1913"/>
      <c r="AB285" s="1794"/>
      <c r="AC285" s="1954"/>
      <c r="AD285" s="1954"/>
      <c r="AE285" s="1954"/>
      <c r="AF285" s="1954"/>
      <c r="AI285" s="1735" t="str">
        <f>"22:field224:" &amp; IF(I285="■",1,IF(L285="■",2,0))</f>
        <v>22:field224:0</v>
      </c>
    </row>
    <row r="286" spans="1:36" s="1735" customFormat="1" ht="18.75" hidden="1" customHeight="1">
      <c r="A286" s="1766"/>
      <c r="B286" s="1765"/>
      <c r="C286" s="1764"/>
      <c r="D286" s="1763"/>
      <c r="E286" s="1762"/>
      <c r="F286" s="1763"/>
      <c r="G286" s="1793"/>
      <c r="H286" s="1769" t="s">
        <v>787</v>
      </c>
      <c r="I286" s="1773" t="s">
        <v>194</v>
      </c>
      <c r="J286" s="1754" t="s">
        <v>750</v>
      </c>
      <c r="K286" s="1789"/>
      <c r="L286" s="1772" t="s">
        <v>194</v>
      </c>
      <c r="M286" s="1754" t="s">
        <v>764</v>
      </c>
      <c r="N286" s="1768"/>
      <c r="O286" s="1768"/>
      <c r="P286" s="1768"/>
      <c r="Q286" s="1768"/>
      <c r="R286" s="1768"/>
      <c r="S286" s="1768"/>
      <c r="T286" s="1768"/>
      <c r="U286" s="1768"/>
      <c r="V286" s="1768"/>
      <c r="W286" s="1768"/>
      <c r="X286" s="1767"/>
      <c r="Y286" s="1914"/>
      <c r="Z286" s="1913"/>
      <c r="AA286" s="1913"/>
      <c r="AB286" s="1794"/>
      <c r="AC286" s="1954"/>
      <c r="AD286" s="1954"/>
      <c r="AE286" s="1954"/>
      <c r="AF286" s="1954"/>
      <c r="AI286" s="1735" t="str">
        <f>"22:ryouyoushoku_code:" &amp; IF(I286="■",1,IF(L286="■",2,0))</f>
        <v>22:ryouyoushoku_code:0</v>
      </c>
    </row>
    <row r="287" spans="1:36" s="1735" customFormat="1" ht="18.75" hidden="1" customHeight="1">
      <c r="A287" s="1766"/>
      <c r="B287" s="1765"/>
      <c r="C287" s="1764"/>
      <c r="D287" s="1763"/>
      <c r="E287" s="1762"/>
      <c r="F287" s="1763"/>
      <c r="G287" s="1793"/>
      <c r="H287" s="1769" t="s">
        <v>1681</v>
      </c>
      <c r="I287" s="1773" t="s">
        <v>194</v>
      </c>
      <c r="J287" s="1754" t="s">
        <v>750</v>
      </c>
      <c r="K287" s="1754"/>
      <c r="L287" s="1772" t="s">
        <v>194</v>
      </c>
      <c r="M287" s="1754" t="s">
        <v>784</v>
      </c>
      <c r="N287" s="1754"/>
      <c r="O287" s="1772" t="s">
        <v>194</v>
      </c>
      <c r="P287" s="1754" t="s">
        <v>785</v>
      </c>
      <c r="Q287" s="1768"/>
      <c r="R287" s="1768"/>
      <c r="S287" s="1768"/>
      <c r="T287" s="1768"/>
      <c r="U287" s="1768"/>
      <c r="V287" s="1768"/>
      <c r="W287" s="1768"/>
      <c r="X287" s="1767"/>
      <c r="Y287" s="1914"/>
      <c r="Z287" s="1913"/>
      <c r="AA287" s="1913"/>
      <c r="AB287" s="1794"/>
      <c r="AC287" s="1954"/>
      <c r="AD287" s="1954"/>
      <c r="AE287" s="1954"/>
      <c r="AF287" s="1954"/>
      <c r="AI287" s="1735" t="str">
        <f>"22:ninti_senmoncare_code:" &amp; IF(I287="■",1,IF(O287="■",3,IF(L287="■",2,0)))</f>
        <v>22:ninti_senmoncare_code:0</v>
      </c>
    </row>
    <row r="288" spans="1:36" s="1735" customFormat="1" ht="18.75" hidden="1" customHeight="1">
      <c r="A288" s="1766"/>
      <c r="B288" s="1765"/>
      <c r="C288" s="1764"/>
      <c r="D288" s="1763"/>
      <c r="E288" s="1762"/>
      <c r="F288" s="1763"/>
      <c r="G288" s="1793"/>
      <c r="H288" s="1917" t="s">
        <v>794</v>
      </c>
      <c r="I288" s="1773" t="s">
        <v>194</v>
      </c>
      <c r="J288" s="1754" t="s">
        <v>750</v>
      </c>
      <c r="K288" s="1754"/>
      <c r="L288" s="1772" t="s">
        <v>194</v>
      </c>
      <c r="M288" s="1754" t="s">
        <v>784</v>
      </c>
      <c r="N288" s="1754"/>
      <c r="O288" s="1772" t="s">
        <v>194</v>
      </c>
      <c r="P288" s="1754" t="s">
        <v>785</v>
      </c>
      <c r="Q288" s="1768"/>
      <c r="R288" s="1768"/>
      <c r="S288" s="1768"/>
      <c r="T288" s="1768"/>
      <c r="U288" s="1829"/>
      <c r="V288" s="1829"/>
      <c r="W288" s="1829"/>
      <c r="X288" s="1828"/>
      <c r="Y288" s="1914"/>
      <c r="Z288" s="1913"/>
      <c r="AA288" s="1913"/>
      <c r="AB288" s="1794"/>
      <c r="AC288" s="1954"/>
      <c r="AD288" s="1954"/>
      <c r="AE288" s="1954"/>
      <c r="AF288" s="1954"/>
      <c r="AI288" s="1735" t="str">
        <f>"22:field225:" &amp; IF(I288="■",1,IF(L288="■",2,IF(O288="■",3,0)))</f>
        <v>22:field225:0</v>
      </c>
    </row>
    <row r="289" spans="1:36" s="1735" customFormat="1" ht="18.75" hidden="1" customHeight="1">
      <c r="A289" s="1766"/>
      <c r="B289" s="1765"/>
      <c r="C289" s="1764"/>
      <c r="D289" s="1763"/>
      <c r="E289" s="1762"/>
      <c r="F289" s="1763"/>
      <c r="G289" s="1793"/>
      <c r="H289" s="1777" t="s">
        <v>795</v>
      </c>
      <c r="I289" s="1773" t="s">
        <v>194</v>
      </c>
      <c r="J289" s="1754" t="s">
        <v>750</v>
      </c>
      <c r="K289" s="1754"/>
      <c r="L289" s="1772" t="s">
        <v>194</v>
      </c>
      <c r="M289" s="1754" t="s">
        <v>796</v>
      </c>
      <c r="N289" s="1754"/>
      <c r="O289" s="1772" t="s">
        <v>194</v>
      </c>
      <c r="P289" s="1754" t="s">
        <v>797</v>
      </c>
      <c r="Q289" s="1771"/>
      <c r="R289" s="1772" t="s">
        <v>194</v>
      </c>
      <c r="S289" s="1754" t="s">
        <v>798</v>
      </c>
      <c r="T289" s="1771"/>
      <c r="U289" s="1771"/>
      <c r="V289" s="1771"/>
      <c r="W289" s="1771"/>
      <c r="X289" s="1770"/>
      <c r="Y289" s="1914"/>
      <c r="Z289" s="1913"/>
      <c r="AA289" s="1913"/>
      <c r="AB289" s="1794"/>
      <c r="AC289" s="1954"/>
      <c r="AD289" s="1954"/>
      <c r="AE289" s="1954"/>
      <c r="AF289" s="1954"/>
      <c r="AI289" s="1735" t="str">
        <f>"22:serteikyo_kyoka_code:" &amp; IF(I289="■",1,IF(L289="■",6,IF(O289="■",5,IF(R289="■",7,0))))</f>
        <v>22:serteikyo_kyoka_code:0</v>
      </c>
    </row>
    <row r="290" spans="1:36" s="1735" customFormat="1" ht="18.75" hidden="1" customHeight="1">
      <c r="A290" s="1766"/>
      <c r="B290" s="1765"/>
      <c r="C290" s="1764"/>
      <c r="D290" s="1763"/>
      <c r="E290" s="1762"/>
      <c r="F290" s="1763"/>
      <c r="G290" s="1793"/>
      <c r="H290" s="1788" t="s">
        <v>1665</v>
      </c>
      <c r="I290" s="1969" t="s">
        <v>194</v>
      </c>
      <c r="J290" s="1968" t="s">
        <v>750</v>
      </c>
      <c r="K290" s="1968"/>
      <c r="L290" s="1967" t="s">
        <v>194</v>
      </c>
      <c r="M290" s="1968" t="s">
        <v>764</v>
      </c>
      <c r="N290" s="1968"/>
      <c r="O290" s="1923"/>
      <c r="P290" s="1923"/>
      <c r="Q290" s="1923"/>
      <c r="R290" s="1923"/>
      <c r="S290" s="1923"/>
      <c r="T290" s="1923"/>
      <c r="U290" s="1923"/>
      <c r="V290" s="1923"/>
      <c r="W290" s="1923"/>
      <c r="X290" s="1956"/>
      <c r="Y290" s="1914"/>
      <c r="Z290" s="1913"/>
      <c r="AA290" s="1913"/>
      <c r="AB290" s="1794"/>
      <c r="AC290" s="1954"/>
      <c r="AD290" s="1954"/>
      <c r="AE290" s="1954"/>
      <c r="AF290" s="1954"/>
      <c r="AI290" s="1735" t="str">
        <f>"22:field221:" &amp; IF(I290="■",1,IF(L290="■",2,0))</f>
        <v>22:field221:0</v>
      </c>
    </row>
    <row r="291" spans="1:36" s="1735" customFormat="1" ht="18.75" hidden="1" customHeight="1">
      <c r="A291" s="1766"/>
      <c r="B291" s="1765"/>
      <c r="C291" s="1764"/>
      <c r="D291" s="1763"/>
      <c r="E291" s="1762"/>
      <c r="F291" s="1763"/>
      <c r="G291" s="1793"/>
      <c r="H291" s="1783"/>
      <c r="I291" s="1969"/>
      <c r="J291" s="1968"/>
      <c r="K291" s="1968"/>
      <c r="L291" s="1967"/>
      <c r="M291" s="1968"/>
      <c r="N291" s="1968"/>
      <c r="O291" s="1756"/>
      <c r="P291" s="1756"/>
      <c r="Q291" s="1756"/>
      <c r="R291" s="1756"/>
      <c r="S291" s="1756"/>
      <c r="T291" s="1756"/>
      <c r="U291" s="1756"/>
      <c r="V291" s="1756"/>
      <c r="W291" s="1756"/>
      <c r="X291" s="1814"/>
      <c r="Y291" s="1914"/>
      <c r="Z291" s="1913"/>
      <c r="AA291" s="1913"/>
      <c r="AB291" s="1794"/>
      <c r="AC291" s="1954"/>
      <c r="AD291" s="1954"/>
      <c r="AE291" s="1954"/>
      <c r="AF291" s="1954"/>
    </row>
    <row r="292" spans="1:36" s="1735" customFormat="1" ht="18.75" hidden="1" customHeight="1">
      <c r="A292" s="1752"/>
      <c r="B292" s="1751"/>
      <c r="C292" s="1750"/>
      <c r="D292" s="1749"/>
      <c r="E292" s="1748"/>
      <c r="F292" s="1747"/>
      <c r="G292" s="1808"/>
      <c r="H292" s="1909" t="s">
        <v>1553</v>
      </c>
      <c r="I292" s="1744" t="s">
        <v>194</v>
      </c>
      <c r="J292" s="1905" t="s">
        <v>750</v>
      </c>
      <c r="K292" s="1905"/>
      <c r="L292" s="1743" t="s">
        <v>194</v>
      </c>
      <c r="M292" s="1905" t="s">
        <v>1552</v>
      </c>
      <c r="N292" s="1908"/>
      <c r="O292" s="1743" t="s">
        <v>194</v>
      </c>
      <c r="P292" s="1907" t="s">
        <v>1551</v>
      </c>
      <c r="Q292" s="1906"/>
      <c r="R292" s="1743" t="s">
        <v>194</v>
      </c>
      <c r="S292" s="1905" t="s">
        <v>1550</v>
      </c>
      <c r="T292" s="1906"/>
      <c r="U292" s="1743" t="s">
        <v>194</v>
      </c>
      <c r="V292" s="1905" t="s">
        <v>1549</v>
      </c>
      <c r="W292" s="1904"/>
      <c r="X292" s="1903"/>
      <c r="Y292" s="1902"/>
      <c r="Z292" s="1902"/>
      <c r="AA292" s="1902"/>
      <c r="AB292" s="1901"/>
      <c r="AC292" s="1953"/>
      <c r="AD292" s="1953"/>
      <c r="AE292" s="1953"/>
      <c r="AF292" s="1953"/>
      <c r="AI292" s="1735" t="str">
        <f>"22:shoguukaizen_code:"&amp;IF(I292="■",1,IF(L292="■",7,IF(O292="■",8,IF(R292="■",9,IF(U292="■","A",0)))))</f>
        <v>22:shoguukaizen_code:0</v>
      </c>
    </row>
    <row r="293" spans="1:36" s="1735" customFormat="1" ht="18.75" hidden="1" customHeight="1">
      <c r="A293" s="1807"/>
      <c r="B293" s="1806"/>
      <c r="C293" s="1849"/>
      <c r="D293" s="1848"/>
      <c r="E293" s="1802"/>
      <c r="F293" s="1848"/>
      <c r="G293" s="1804"/>
      <c r="H293" s="1885" t="s">
        <v>1676</v>
      </c>
      <c r="I293" s="1873" t="s">
        <v>194</v>
      </c>
      <c r="J293" s="1872" t="s">
        <v>747</v>
      </c>
      <c r="K293" s="1932"/>
      <c r="L293" s="2007"/>
      <c r="M293" s="1931" t="s">
        <v>194</v>
      </c>
      <c r="N293" s="1872" t="s">
        <v>1572</v>
      </c>
      <c r="O293" s="1930"/>
      <c r="P293" s="1930"/>
      <c r="Q293" s="1931" t="s">
        <v>194</v>
      </c>
      <c r="R293" s="1872" t="s">
        <v>1571</v>
      </c>
      <c r="S293" s="1930"/>
      <c r="T293" s="1930"/>
      <c r="U293" s="1931" t="s">
        <v>194</v>
      </c>
      <c r="V293" s="1872" t="s">
        <v>1570</v>
      </c>
      <c r="W293" s="1930"/>
      <c r="X293" s="1886"/>
      <c r="Y293" s="1873" t="s">
        <v>194</v>
      </c>
      <c r="Z293" s="1872" t="s">
        <v>749</v>
      </c>
      <c r="AA293" s="1872"/>
      <c r="AB293" s="1929"/>
      <c r="AC293" s="1959"/>
      <c r="AD293" s="1959"/>
      <c r="AE293" s="1959"/>
      <c r="AF293" s="1959"/>
      <c r="AG293" s="1735" t="str">
        <f>"ser_code = '" &amp; IF(A304="■",23,"") &amp; "'"</f>
        <v>ser_code = ''</v>
      </c>
      <c r="AH293" s="1735" t="str">
        <f>"23:jininkbn_code:" &amp; IF(F299="■",2,IF(F301="■",5,IF(F303="■",6,IF(F305="■",3,IF(F307="■",7,IF(F309="■",4,0))))))</f>
        <v>23:jininkbn_code:0</v>
      </c>
      <c r="AI293" s="1735" t="str">
        <f>"23:yakan_kinmu_code:" &amp; IF(I293="■",1,IF(M293="■",2,IF(Q293="■",3,IF(U293="■",7,IF(I294="■",5,IF(M294="■",6,0))))))</f>
        <v>23:yakan_kinmu_code:0</v>
      </c>
      <c r="AJ293" s="1735" t="str">
        <f>"23:field203:" &amp; IF(Y293="■",1,IF(Y294="■",2,0))</f>
        <v>23:field203:0</v>
      </c>
    </row>
    <row r="294" spans="1:36" s="1735" customFormat="1" ht="18.75" hidden="1" customHeight="1">
      <c r="A294" s="1766"/>
      <c r="B294" s="1765"/>
      <c r="C294" s="1764"/>
      <c r="D294" s="1763"/>
      <c r="E294" s="1793"/>
      <c r="F294" s="1763"/>
      <c r="G294" s="1762"/>
      <c r="H294" s="1921"/>
      <c r="I294" s="1758" t="s">
        <v>194</v>
      </c>
      <c r="J294" s="1756" t="s">
        <v>1569</v>
      </c>
      <c r="K294" s="1755"/>
      <c r="L294" s="2006"/>
      <c r="M294" s="1757" t="s">
        <v>194</v>
      </c>
      <c r="N294" s="1756" t="s">
        <v>748</v>
      </c>
      <c r="O294" s="1780"/>
      <c r="P294" s="1780"/>
      <c r="Q294" s="1780"/>
      <c r="R294" s="1780"/>
      <c r="S294" s="1780"/>
      <c r="T294" s="1780"/>
      <c r="U294" s="1780"/>
      <c r="V294" s="1780"/>
      <c r="W294" s="1780"/>
      <c r="X294" s="1779"/>
      <c r="Y294" s="1878" t="s">
        <v>194</v>
      </c>
      <c r="Z294" s="1738" t="s">
        <v>754</v>
      </c>
      <c r="AA294" s="1913"/>
      <c r="AB294" s="1794"/>
      <c r="AC294" s="1970"/>
      <c r="AD294" s="1970"/>
      <c r="AE294" s="1970"/>
      <c r="AF294" s="1970"/>
      <c r="AG294" s="1735" t="str">
        <f>"23:sisetukbn_code:" &amp; IF(D304="■",1,0)</f>
        <v>23:sisetukbn_code:0</v>
      </c>
    </row>
    <row r="295" spans="1:36" s="1735" customFormat="1" ht="18.75" hidden="1" customHeight="1">
      <c r="A295" s="1766"/>
      <c r="B295" s="1765"/>
      <c r="C295" s="1764"/>
      <c r="D295" s="1763"/>
      <c r="E295" s="1793"/>
      <c r="F295" s="1763"/>
      <c r="G295" s="1762"/>
      <c r="H295" s="1769" t="s">
        <v>98</v>
      </c>
      <c r="I295" s="1773" t="s">
        <v>194</v>
      </c>
      <c r="J295" s="1754" t="s">
        <v>750</v>
      </c>
      <c r="K295" s="1754"/>
      <c r="L295" s="1791"/>
      <c r="M295" s="1772" t="s">
        <v>194</v>
      </c>
      <c r="N295" s="1754" t="s">
        <v>1568</v>
      </c>
      <c r="O295" s="1754"/>
      <c r="P295" s="1791"/>
      <c r="Q295" s="1772" t="s">
        <v>194</v>
      </c>
      <c r="R295" s="1771" t="s">
        <v>1615</v>
      </c>
      <c r="S295" s="1771"/>
      <c r="T295" s="1771"/>
      <c r="U295" s="1772" t="s">
        <v>194</v>
      </c>
      <c r="V295" s="1771" t="s">
        <v>1614</v>
      </c>
      <c r="W295" s="1768"/>
      <c r="X295" s="1767"/>
      <c r="Y295" s="1914"/>
      <c r="Z295" s="1913"/>
      <c r="AA295" s="1913"/>
      <c r="AB295" s="1794"/>
      <c r="AC295" s="1954"/>
      <c r="AD295" s="1954"/>
      <c r="AE295" s="1954"/>
      <c r="AF295" s="1954"/>
      <c r="AI295" s="1735" t="str">
        <f>"23:"&amp;IF(AND(I295="□",M295="□",Q295="□",U295="□"),"ketu_doctor_code:0",IF(I295="■","ketu_doctor_code:1:ketu_kangos_code:1:ketu_kshoku_code:1",
IF(M295="■","ketu_doctor_code:2","ketu_doctor_code:1")
&amp;IF(Q295="■",":ketu_kangos_code:2",":ketu_kangos_code:1")
&amp;IF(U295="■",":ketu_kshoku_code:2",":ketu_kshoku_code:1")))</f>
        <v>23:ketu_doctor_code:0</v>
      </c>
    </row>
    <row r="296" spans="1:36" s="1735" customFormat="1" ht="18.75" hidden="1" customHeight="1">
      <c r="A296" s="1766"/>
      <c r="B296" s="1765"/>
      <c r="C296" s="1916"/>
      <c r="D296" s="1915"/>
      <c r="E296" s="1762"/>
      <c r="F296" s="1761"/>
      <c r="G296" s="1793"/>
      <c r="H296" s="2002" t="s">
        <v>757</v>
      </c>
      <c r="I296" s="1842" t="s">
        <v>194</v>
      </c>
      <c r="J296" s="1837" t="s">
        <v>758</v>
      </c>
      <c r="K296" s="1841"/>
      <c r="L296" s="1840"/>
      <c r="M296" s="1839" t="s">
        <v>194</v>
      </c>
      <c r="N296" s="1837" t="s">
        <v>759</v>
      </c>
      <c r="O296" s="1841"/>
      <c r="P296" s="2001"/>
      <c r="Q296" s="2001"/>
      <c r="R296" s="2001"/>
      <c r="S296" s="2001"/>
      <c r="T296" s="2001"/>
      <c r="U296" s="2001"/>
      <c r="V296" s="2001"/>
      <c r="W296" s="2001"/>
      <c r="X296" s="2000"/>
      <c r="Y296" s="1914"/>
      <c r="Z296" s="1913"/>
      <c r="AA296" s="1913"/>
      <c r="AB296" s="1794"/>
      <c r="AC296" s="1954"/>
      <c r="AD296" s="1954"/>
      <c r="AE296" s="1954"/>
      <c r="AF296" s="1954"/>
      <c r="AI296" s="1735" t="str">
        <f>"23:sintaikousoku_code:" &amp; IF(I296="■",1,IF(M296="■",2,0))</f>
        <v>23:sintaikousoku_code:0</v>
      </c>
    </row>
    <row r="297" spans="1:36" s="1735" customFormat="1" ht="19.5" hidden="1" customHeight="1">
      <c r="A297" s="1766"/>
      <c r="B297" s="1765"/>
      <c r="C297" s="1764"/>
      <c r="D297" s="1763"/>
      <c r="E297" s="1762"/>
      <c r="F297" s="1761"/>
      <c r="G297" s="1793"/>
      <c r="H297" s="1792" t="s">
        <v>760</v>
      </c>
      <c r="I297" s="1773" t="s">
        <v>194</v>
      </c>
      <c r="J297" s="1754" t="s">
        <v>758</v>
      </c>
      <c r="K297" s="1789"/>
      <c r="L297" s="1791"/>
      <c r="M297" s="1772" t="s">
        <v>194</v>
      </c>
      <c r="N297" s="1754" t="s">
        <v>761</v>
      </c>
      <c r="O297" s="1920"/>
      <c r="P297" s="1754"/>
      <c r="Q297" s="1768"/>
      <c r="R297" s="1768"/>
      <c r="S297" s="1768"/>
      <c r="T297" s="1768"/>
      <c r="U297" s="1768"/>
      <c r="V297" s="1768"/>
      <c r="W297" s="1768"/>
      <c r="X297" s="1767"/>
      <c r="Y297" s="1913"/>
      <c r="Z297" s="1913"/>
      <c r="AA297" s="1913"/>
      <c r="AB297" s="1794"/>
      <c r="AC297" s="1954"/>
      <c r="AD297" s="1954"/>
      <c r="AE297" s="1954"/>
      <c r="AF297" s="1954"/>
      <c r="AI297" s="1735" t="str">
        <f>"23:field223:" &amp; IF(I297="■",1,IF(M297="■",2,0))</f>
        <v>23:field223:0</v>
      </c>
    </row>
    <row r="298" spans="1:36" s="1735" customFormat="1" ht="19.5" hidden="1" customHeight="1">
      <c r="A298" s="1766"/>
      <c r="B298" s="1765"/>
      <c r="C298" s="1764"/>
      <c r="D298" s="1763"/>
      <c r="E298" s="1762"/>
      <c r="F298" s="1761"/>
      <c r="G298" s="1793"/>
      <c r="H298" s="1792" t="s">
        <v>762</v>
      </c>
      <c r="I298" s="1773" t="s">
        <v>194</v>
      </c>
      <c r="J298" s="1754" t="s">
        <v>758</v>
      </c>
      <c r="K298" s="1789"/>
      <c r="L298" s="1791"/>
      <c r="M298" s="1772" t="s">
        <v>194</v>
      </c>
      <c r="N298" s="1754" t="s">
        <v>761</v>
      </c>
      <c r="O298" s="1920"/>
      <c r="P298" s="1754"/>
      <c r="Q298" s="1768"/>
      <c r="R298" s="1768"/>
      <c r="S298" s="1768"/>
      <c r="T298" s="1768"/>
      <c r="U298" s="1768"/>
      <c r="V298" s="1768"/>
      <c r="W298" s="1768"/>
      <c r="X298" s="1767"/>
      <c r="Y298" s="1913"/>
      <c r="Z298" s="1913"/>
      <c r="AA298" s="1913"/>
      <c r="AB298" s="1794"/>
      <c r="AC298" s="1954"/>
      <c r="AD298" s="1954"/>
      <c r="AE298" s="1954"/>
      <c r="AF298" s="1954"/>
      <c r="AI298" s="1735" t="str">
        <f>"23:field232:" &amp; IF(I298="■",1,IF(M298="■",2,0))</f>
        <v>23:field232:0</v>
      </c>
    </row>
    <row r="299" spans="1:36" s="1735" customFormat="1" ht="18.75" hidden="1" customHeight="1">
      <c r="A299" s="1766"/>
      <c r="B299" s="1765"/>
      <c r="C299" s="1764"/>
      <c r="D299" s="1763"/>
      <c r="E299" s="1793"/>
      <c r="F299" s="1878" t="s">
        <v>194</v>
      </c>
      <c r="G299" s="1762" t="s">
        <v>1714</v>
      </c>
      <c r="H299" s="1769" t="s">
        <v>1704</v>
      </c>
      <c r="I299" s="1773" t="s">
        <v>194</v>
      </c>
      <c r="J299" s="1754" t="s">
        <v>747</v>
      </c>
      <c r="K299" s="1789"/>
      <c r="L299" s="1791"/>
      <c r="M299" s="1772" t="s">
        <v>194</v>
      </c>
      <c r="N299" s="1754" t="s">
        <v>1556</v>
      </c>
      <c r="O299" s="1771"/>
      <c r="P299" s="1771"/>
      <c r="Q299" s="1771"/>
      <c r="R299" s="1771"/>
      <c r="S299" s="1771"/>
      <c r="T299" s="1771"/>
      <c r="U299" s="1771"/>
      <c r="V299" s="1771"/>
      <c r="W299" s="1771"/>
      <c r="X299" s="1770"/>
      <c r="Y299" s="1914"/>
      <c r="Z299" s="1913"/>
      <c r="AA299" s="1913"/>
      <c r="AB299" s="1794"/>
      <c r="AC299" s="1954"/>
      <c r="AD299" s="1954"/>
      <c r="AE299" s="1954"/>
      <c r="AF299" s="1954"/>
      <c r="AI299" s="1735" t="str">
        <f>"23:ryokan_code:" &amp; IF(I299="■",1,IF(M299="■",2,0))</f>
        <v>23:ryokan_code:0</v>
      </c>
    </row>
    <row r="300" spans="1:36" s="1735" customFormat="1" ht="18.75" hidden="1" customHeight="1">
      <c r="A300" s="1766"/>
      <c r="B300" s="1765"/>
      <c r="C300" s="1764"/>
      <c r="D300" s="1763"/>
      <c r="E300" s="1793"/>
      <c r="F300" s="1763"/>
      <c r="G300" s="1762" t="s">
        <v>1695</v>
      </c>
      <c r="H300" s="1769" t="s">
        <v>1703</v>
      </c>
      <c r="I300" s="1773" t="s">
        <v>194</v>
      </c>
      <c r="J300" s="1754" t="s">
        <v>1702</v>
      </c>
      <c r="K300" s="1789"/>
      <c r="L300" s="1791"/>
      <c r="M300" s="1772" t="s">
        <v>194</v>
      </c>
      <c r="N300" s="1754" t="s">
        <v>1701</v>
      </c>
      <c r="O300" s="1768"/>
      <c r="P300" s="1768"/>
      <c r="Q300" s="1768"/>
      <c r="R300" s="1771"/>
      <c r="S300" s="1768"/>
      <c r="T300" s="1768"/>
      <c r="U300" s="1768"/>
      <c r="V300" s="1768"/>
      <c r="W300" s="1768"/>
      <c r="X300" s="1767"/>
      <c r="Y300" s="1914"/>
      <c r="Z300" s="1913"/>
      <c r="AA300" s="1913"/>
      <c r="AB300" s="1794"/>
      <c r="AC300" s="1954"/>
      <c r="AD300" s="1954"/>
      <c r="AE300" s="1954"/>
      <c r="AF300" s="1954"/>
      <c r="AI300" s="1735" t="str">
        <f>"23:doctor_haiti_code:" &amp; IF(I300="■",1,IF(M300="■",2,0))</f>
        <v>23:doctor_haiti_code:0</v>
      </c>
    </row>
    <row r="301" spans="1:36" s="1735" customFormat="1" ht="18.75" hidden="1" customHeight="1">
      <c r="A301" s="1766"/>
      <c r="B301" s="1765"/>
      <c r="C301" s="1764"/>
      <c r="D301" s="1763"/>
      <c r="E301" s="1793"/>
      <c r="F301" s="1878" t="s">
        <v>194</v>
      </c>
      <c r="G301" s="1762" t="s">
        <v>1713</v>
      </c>
      <c r="H301" s="1769" t="s">
        <v>1498</v>
      </c>
      <c r="I301" s="1773" t="s">
        <v>194</v>
      </c>
      <c r="J301" s="1754" t="s">
        <v>750</v>
      </c>
      <c r="K301" s="1789"/>
      <c r="L301" s="1772" t="s">
        <v>194</v>
      </c>
      <c r="M301" s="1754" t="s">
        <v>764</v>
      </c>
      <c r="N301" s="1768"/>
      <c r="O301" s="1768"/>
      <c r="P301" s="1768"/>
      <c r="Q301" s="1768"/>
      <c r="R301" s="1768"/>
      <c r="S301" s="1768"/>
      <c r="T301" s="1768"/>
      <c r="U301" s="1768"/>
      <c r="V301" s="1768"/>
      <c r="W301" s="1768"/>
      <c r="X301" s="1767"/>
      <c r="Y301" s="1914"/>
      <c r="Z301" s="1913"/>
      <c r="AA301" s="1913"/>
      <c r="AB301" s="1794"/>
      <c r="AC301" s="1954"/>
      <c r="AD301" s="1954"/>
      <c r="AE301" s="1954"/>
      <c r="AF301" s="1954"/>
      <c r="AI301" s="1735" t="str">
        <f>"23:jyakuninti_uke_code:" &amp; IF(I301="■",1,IF(L301="■",2,0))</f>
        <v>23:jyakuninti_uke_code:0</v>
      </c>
    </row>
    <row r="302" spans="1:36" s="1735" customFormat="1" ht="18.75" hidden="1" customHeight="1">
      <c r="A302" s="1766"/>
      <c r="B302" s="1765"/>
      <c r="C302" s="1764"/>
      <c r="D302" s="1763"/>
      <c r="E302" s="1762"/>
      <c r="F302" s="1763"/>
      <c r="G302" s="1762" t="s">
        <v>1712</v>
      </c>
      <c r="H302" s="1769" t="s">
        <v>1666</v>
      </c>
      <c r="I302" s="1773" t="s">
        <v>194</v>
      </c>
      <c r="J302" s="1754" t="s">
        <v>755</v>
      </c>
      <c r="K302" s="1789"/>
      <c r="L302" s="1791"/>
      <c r="M302" s="1772" t="s">
        <v>194</v>
      </c>
      <c r="N302" s="1754" t="s">
        <v>756</v>
      </c>
      <c r="O302" s="1768"/>
      <c r="P302" s="1768"/>
      <c r="Q302" s="1768"/>
      <c r="R302" s="1768"/>
      <c r="S302" s="1768"/>
      <c r="T302" s="1768"/>
      <c r="U302" s="1768"/>
      <c r="V302" s="1768"/>
      <c r="W302" s="1768"/>
      <c r="X302" s="1767"/>
      <c r="Y302" s="1914"/>
      <c r="Z302" s="1913"/>
      <c r="AA302" s="1913"/>
      <c r="AB302" s="1794"/>
      <c r="AC302" s="1954"/>
      <c r="AD302" s="1954"/>
      <c r="AE302" s="1954"/>
      <c r="AF302" s="1954"/>
      <c r="AI302" s="1735" t="str">
        <f>"23:sougei_code:" &amp; IF(I302="■",1,IF(M302="■",2,0))</f>
        <v>23:sougei_code:0</v>
      </c>
    </row>
    <row r="303" spans="1:36" s="1735" customFormat="1" ht="19.5" hidden="1" customHeight="1">
      <c r="A303" s="1766"/>
      <c r="B303" s="1765"/>
      <c r="C303" s="1764"/>
      <c r="D303" s="1763"/>
      <c r="E303" s="1793"/>
      <c r="F303" s="1878" t="s">
        <v>194</v>
      </c>
      <c r="G303" s="1762" t="s">
        <v>1711</v>
      </c>
      <c r="H303" s="1792" t="s">
        <v>1516</v>
      </c>
      <c r="I303" s="1773" t="s">
        <v>194</v>
      </c>
      <c r="J303" s="1754" t="s">
        <v>750</v>
      </c>
      <c r="K303" s="1754"/>
      <c r="L303" s="1772" t="s">
        <v>194</v>
      </c>
      <c r="M303" s="1754" t="s">
        <v>764</v>
      </c>
      <c r="N303" s="1754"/>
      <c r="O303" s="1768"/>
      <c r="P303" s="1754"/>
      <c r="Q303" s="1768"/>
      <c r="R303" s="1768"/>
      <c r="S303" s="1768"/>
      <c r="T303" s="1768"/>
      <c r="U303" s="1768"/>
      <c r="V303" s="1768"/>
      <c r="W303" s="1768"/>
      <c r="X303" s="1767"/>
      <c r="Y303" s="1913"/>
      <c r="Z303" s="1913"/>
      <c r="AA303" s="1913"/>
      <c r="AB303" s="1794"/>
      <c r="AC303" s="1954"/>
      <c r="AD303" s="1954"/>
      <c r="AE303" s="1954"/>
      <c r="AF303" s="1954"/>
      <c r="AI303" s="1735" t="str">
        <f>"23:field224:" &amp; IF(I303="■",1,IF(L303="■",2,0))</f>
        <v>23:field224:0</v>
      </c>
    </row>
    <row r="304" spans="1:36" s="1735" customFormat="1" ht="18.75" hidden="1" customHeight="1">
      <c r="A304" s="1776" t="s">
        <v>194</v>
      </c>
      <c r="B304" s="1765">
        <v>23</v>
      </c>
      <c r="C304" s="1764" t="s">
        <v>1668</v>
      </c>
      <c r="D304" s="1878" t="s">
        <v>194</v>
      </c>
      <c r="E304" s="1793" t="s">
        <v>1710</v>
      </c>
      <c r="F304" s="1763"/>
      <c r="G304" s="1762" t="s">
        <v>1689</v>
      </c>
      <c r="H304" s="1769" t="s">
        <v>787</v>
      </c>
      <c r="I304" s="1773" t="s">
        <v>194</v>
      </c>
      <c r="J304" s="1754" t="s">
        <v>750</v>
      </c>
      <c r="K304" s="1789"/>
      <c r="L304" s="1772" t="s">
        <v>194</v>
      </c>
      <c r="M304" s="1754" t="s">
        <v>764</v>
      </c>
      <c r="N304" s="1768"/>
      <c r="O304" s="1768"/>
      <c r="P304" s="1768"/>
      <c r="Q304" s="1768"/>
      <c r="R304" s="1768"/>
      <c r="S304" s="1768"/>
      <c r="T304" s="1768"/>
      <c r="U304" s="1768"/>
      <c r="V304" s="1768"/>
      <c r="W304" s="1768"/>
      <c r="X304" s="1767"/>
      <c r="Y304" s="1914"/>
      <c r="Z304" s="1913"/>
      <c r="AA304" s="1913"/>
      <c r="AB304" s="1794"/>
      <c r="AC304" s="1954"/>
      <c r="AD304" s="1954"/>
      <c r="AE304" s="1954"/>
      <c r="AF304" s="1954"/>
      <c r="AI304" s="1735" t="str">
        <f>"23:ryouyoushoku_code:" &amp; IF(I304="■",1,IF(L304="■",2,0))</f>
        <v>23:ryouyoushoku_code:0</v>
      </c>
    </row>
    <row r="305" spans="1:36" s="1735" customFormat="1" ht="18.75" hidden="1" customHeight="1">
      <c r="A305" s="1766"/>
      <c r="B305" s="1765"/>
      <c r="C305" s="1764"/>
      <c r="D305" s="1816"/>
      <c r="E305" s="1793"/>
      <c r="F305" s="1878" t="s">
        <v>194</v>
      </c>
      <c r="G305" s="1762" t="s">
        <v>1709</v>
      </c>
      <c r="H305" s="1769" t="s">
        <v>1681</v>
      </c>
      <c r="I305" s="1773" t="s">
        <v>194</v>
      </c>
      <c r="J305" s="1754" t="s">
        <v>750</v>
      </c>
      <c r="K305" s="1754"/>
      <c r="L305" s="1772" t="s">
        <v>194</v>
      </c>
      <c r="M305" s="1754" t="s">
        <v>784</v>
      </c>
      <c r="N305" s="1754"/>
      <c r="O305" s="1772" t="s">
        <v>194</v>
      </c>
      <c r="P305" s="1754" t="s">
        <v>785</v>
      </c>
      <c r="Q305" s="1768"/>
      <c r="R305" s="1768"/>
      <c r="S305" s="1768"/>
      <c r="T305" s="1768"/>
      <c r="U305" s="1768"/>
      <c r="V305" s="1768"/>
      <c r="W305" s="1768"/>
      <c r="X305" s="1767"/>
      <c r="Y305" s="1914"/>
      <c r="Z305" s="1913"/>
      <c r="AA305" s="1913"/>
      <c r="AB305" s="1794"/>
      <c r="AC305" s="1954"/>
      <c r="AD305" s="1954"/>
      <c r="AE305" s="1954"/>
      <c r="AF305" s="1954"/>
      <c r="AI305" s="1735" t="str">
        <f>"23:ninti_senmoncare_code:" &amp; IF(I305="■",1,IF(O305="■",3,IF(L305="■",2,0)))</f>
        <v>23:ninti_senmoncare_code:0</v>
      </c>
    </row>
    <row r="306" spans="1:36" s="1735" customFormat="1" ht="18.75" hidden="1" customHeight="1">
      <c r="A306" s="1766"/>
      <c r="B306" s="1765"/>
      <c r="C306" s="1764"/>
      <c r="D306" s="1763"/>
      <c r="E306" s="1793"/>
      <c r="F306" s="1763"/>
      <c r="G306" s="1762" t="s">
        <v>1695</v>
      </c>
      <c r="H306" s="1917" t="s">
        <v>794</v>
      </c>
      <c r="I306" s="1773" t="s">
        <v>194</v>
      </c>
      <c r="J306" s="1754" t="s">
        <v>750</v>
      </c>
      <c r="K306" s="1754"/>
      <c r="L306" s="1772" t="s">
        <v>194</v>
      </c>
      <c r="M306" s="1754" t="s">
        <v>784</v>
      </c>
      <c r="N306" s="1754"/>
      <c r="O306" s="1772" t="s">
        <v>194</v>
      </c>
      <c r="P306" s="1754" t="s">
        <v>785</v>
      </c>
      <c r="Q306" s="1768"/>
      <c r="R306" s="1768"/>
      <c r="S306" s="1768"/>
      <c r="T306" s="1768"/>
      <c r="U306" s="1829"/>
      <c r="V306" s="1829"/>
      <c r="W306" s="1829"/>
      <c r="X306" s="1828"/>
      <c r="Y306" s="1914"/>
      <c r="Z306" s="1913"/>
      <c r="AA306" s="1913"/>
      <c r="AB306" s="1794"/>
      <c r="AC306" s="1954"/>
      <c r="AD306" s="1954"/>
      <c r="AE306" s="1954"/>
      <c r="AF306" s="1954"/>
      <c r="AI306" s="1735" t="str">
        <f>"23:field225:" &amp; IF(I306="■",1,IF(L306="■",2,IF(O306="■",3,0)))</f>
        <v>23:field225:0</v>
      </c>
    </row>
    <row r="307" spans="1:36" s="1735" customFormat="1" ht="18.75" hidden="1" customHeight="1">
      <c r="A307" s="1766"/>
      <c r="B307" s="1765"/>
      <c r="C307" s="1764"/>
      <c r="D307" s="1763"/>
      <c r="E307" s="1793"/>
      <c r="F307" s="1878" t="s">
        <v>194</v>
      </c>
      <c r="G307" s="1762" t="s">
        <v>1708</v>
      </c>
      <c r="H307" s="1925" t="s">
        <v>1690</v>
      </c>
      <c r="I307" s="1924" t="s">
        <v>194</v>
      </c>
      <c r="J307" s="1923" t="s">
        <v>1589</v>
      </c>
      <c r="K307" s="1923"/>
      <c r="L307" s="1829"/>
      <c r="M307" s="1829"/>
      <c r="N307" s="1829"/>
      <c r="O307" s="1829"/>
      <c r="P307" s="1922" t="s">
        <v>194</v>
      </c>
      <c r="Q307" s="1923" t="s">
        <v>1588</v>
      </c>
      <c r="R307" s="1829"/>
      <c r="S307" s="1829"/>
      <c r="T307" s="1829"/>
      <c r="U307" s="1829"/>
      <c r="V307" s="1829"/>
      <c r="W307" s="1829"/>
      <c r="X307" s="1828"/>
      <c r="Y307" s="1914"/>
      <c r="Z307" s="1913"/>
      <c r="AA307" s="1913"/>
      <c r="AB307" s="1794"/>
      <c r="AC307" s="1954"/>
      <c r="AD307" s="1954"/>
      <c r="AE307" s="1954"/>
      <c r="AF307" s="1954"/>
      <c r="AI307" s="1735" t="str">
        <f>"23:" &amp; IF(AND(I307="□",P307="□",I308="□"),"tokusin_jyusho_code:0:tokusin_yakuzai_code:0:shuudan_comu_code:0",IF(I307="■","tokusin_jyusho_code:2","tokusin_jyusho_code:1")
&amp;IF(P307="■",":tokusin_yakuzai_code:2",":tokusin_yakuzai_code:1")
&amp;IF(I308="■",":shuudan_comu_code:2",":shuudan_comu_code:1"))</f>
        <v>23:tokusin_jyusho_code:0:tokusin_yakuzai_code:0:shuudan_comu_code:0</v>
      </c>
    </row>
    <row r="308" spans="1:36" s="1735" customFormat="1" ht="18.75" hidden="1" customHeight="1">
      <c r="A308" s="1766"/>
      <c r="B308" s="1765"/>
      <c r="C308" s="1764"/>
      <c r="D308" s="1763"/>
      <c r="E308" s="1793"/>
      <c r="F308" s="1763"/>
      <c r="G308" s="1762" t="s">
        <v>1707</v>
      </c>
      <c r="H308" s="1921"/>
      <c r="I308" s="1758" t="s">
        <v>194</v>
      </c>
      <c r="J308" s="1756" t="s">
        <v>1585</v>
      </c>
      <c r="K308" s="1827"/>
      <c r="L308" s="1827"/>
      <c r="M308" s="1827"/>
      <c r="N308" s="1827"/>
      <c r="O308" s="1827"/>
      <c r="P308" s="1827"/>
      <c r="Q308" s="1780"/>
      <c r="R308" s="1827"/>
      <c r="S308" s="1827"/>
      <c r="T308" s="1827"/>
      <c r="U308" s="1827"/>
      <c r="V308" s="1827"/>
      <c r="W308" s="1827"/>
      <c r="X308" s="1826"/>
      <c r="Y308" s="1914"/>
      <c r="Z308" s="1913"/>
      <c r="AA308" s="1913"/>
      <c r="AB308" s="1794"/>
      <c r="AC308" s="1954"/>
      <c r="AD308" s="1954"/>
      <c r="AE308" s="1954"/>
      <c r="AF308" s="1954"/>
    </row>
    <row r="309" spans="1:36" s="1735" customFormat="1" ht="18.75" hidden="1" customHeight="1">
      <c r="A309" s="1766"/>
      <c r="B309" s="1765"/>
      <c r="C309" s="1764"/>
      <c r="D309" s="1763"/>
      <c r="E309" s="1793"/>
      <c r="F309" s="1878" t="s">
        <v>194</v>
      </c>
      <c r="G309" s="1762" t="s">
        <v>1706</v>
      </c>
      <c r="H309" s="1925" t="s">
        <v>1677</v>
      </c>
      <c r="I309" s="1924" t="s">
        <v>194</v>
      </c>
      <c r="J309" s="1923" t="s">
        <v>1583</v>
      </c>
      <c r="K309" s="1938"/>
      <c r="L309" s="1937"/>
      <c r="M309" s="1922" t="s">
        <v>194</v>
      </c>
      <c r="N309" s="1923" t="s">
        <v>1582</v>
      </c>
      <c r="O309" s="1829"/>
      <c r="P309" s="1829"/>
      <c r="Q309" s="1922" t="s">
        <v>194</v>
      </c>
      <c r="R309" s="1923" t="s">
        <v>1581</v>
      </c>
      <c r="S309" s="1829"/>
      <c r="T309" s="1829"/>
      <c r="U309" s="1829"/>
      <c r="V309" s="1829"/>
      <c r="W309" s="1829"/>
      <c r="X309" s="1828"/>
      <c r="Y309" s="1914"/>
      <c r="Z309" s="1913"/>
      <c r="AA309" s="1913"/>
      <c r="AB309" s="1794"/>
      <c r="AC309" s="1954"/>
      <c r="AD309" s="1954"/>
      <c r="AE309" s="1954"/>
      <c r="AF309" s="1954"/>
      <c r="AI309" s="1735" t="str">
        <f>"23:"&amp;IF(AND(I309="□",M309="□",Q309="□",I310="□",Q310="□"),"koriha_rryoho1_code:0:koriha_sryoho_code:0:koriha_gengo_code:0:riha_seisin_code:0:koriha_other_code:0",IF(I309="■","koriha_rryoho1_code:2","koriha_rryoho1_code:1")
&amp;IF(M309="■",":koriha_sryoho_code:2",":koriha_sryoho_code:1")
&amp;IF(Q309="■",":koriha_gengo_code:2",":koriha_gengo_code:1")
&amp;IF(I310="■",":riha_seisin_code:2",":riha_seisin_code:1")
&amp;IF(Q310="■",":koriha_other_code:2",":koriha_other_code:1"))</f>
        <v>23:koriha_rryoho1_code:0:koriha_sryoho_code:0:koriha_gengo_code:0:riha_seisin_code:0:koriha_other_code:0</v>
      </c>
    </row>
    <row r="310" spans="1:36" s="1735" customFormat="1" ht="18.75" hidden="1" customHeight="1">
      <c r="A310" s="1766"/>
      <c r="B310" s="1765"/>
      <c r="C310" s="1764"/>
      <c r="D310" s="1763"/>
      <c r="E310" s="1793"/>
      <c r="F310" s="1761"/>
      <c r="G310" s="1762"/>
      <c r="H310" s="1921"/>
      <c r="I310" s="1758" t="s">
        <v>194</v>
      </c>
      <c r="J310" s="1756" t="s">
        <v>1580</v>
      </c>
      <c r="K310" s="1827"/>
      <c r="L310" s="1827"/>
      <c r="M310" s="1827"/>
      <c r="N310" s="1827"/>
      <c r="O310" s="1827"/>
      <c r="P310" s="1827"/>
      <c r="Q310" s="1757" t="s">
        <v>194</v>
      </c>
      <c r="R310" s="1756" t="s">
        <v>1579</v>
      </c>
      <c r="S310" s="1780"/>
      <c r="T310" s="1827"/>
      <c r="U310" s="1827"/>
      <c r="V310" s="1827"/>
      <c r="W310" s="1827"/>
      <c r="X310" s="1826"/>
      <c r="Y310" s="1914"/>
      <c r="Z310" s="1913"/>
      <c r="AA310" s="1913"/>
      <c r="AB310" s="1794"/>
      <c r="AC310" s="1954"/>
      <c r="AD310" s="1954"/>
      <c r="AE310" s="1954"/>
      <c r="AF310" s="1954"/>
    </row>
    <row r="311" spans="1:36" s="1735" customFormat="1" ht="18.75" hidden="1" customHeight="1">
      <c r="A311" s="1766"/>
      <c r="B311" s="1765"/>
      <c r="C311" s="1764"/>
      <c r="D311" s="1763"/>
      <c r="E311" s="1793"/>
      <c r="F311" s="1761"/>
      <c r="G311" s="1762"/>
      <c r="H311" s="1777" t="s">
        <v>795</v>
      </c>
      <c r="I311" s="1773" t="s">
        <v>194</v>
      </c>
      <c r="J311" s="1754" t="s">
        <v>750</v>
      </c>
      <c r="K311" s="1754"/>
      <c r="L311" s="1772" t="s">
        <v>194</v>
      </c>
      <c r="M311" s="1754" t="s">
        <v>796</v>
      </c>
      <c r="N311" s="1754"/>
      <c r="O311" s="1772" t="s">
        <v>194</v>
      </c>
      <c r="P311" s="1754" t="s">
        <v>797</v>
      </c>
      <c r="Q311" s="1771"/>
      <c r="R311" s="1772" t="s">
        <v>194</v>
      </c>
      <c r="S311" s="1754" t="s">
        <v>798</v>
      </c>
      <c r="T311" s="1771"/>
      <c r="U311" s="1771"/>
      <c r="V311" s="1771"/>
      <c r="W311" s="1771"/>
      <c r="X311" s="1770"/>
      <c r="Y311" s="1914"/>
      <c r="Z311" s="1913"/>
      <c r="AA311" s="1913"/>
      <c r="AB311" s="1794"/>
      <c r="AC311" s="1954"/>
      <c r="AD311" s="1954"/>
      <c r="AE311" s="1954"/>
      <c r="AF311" s="1954"/>
      <c r="AI311" s="1735" t="str">
        <f>"23:serteikyo_kyoka_code:" &amp; IF(I311="■",1,IF(L311="■",6,IF(O311="■",5,IF(R311="■",7,0))))</f>
        <v>23:serteikyo_kyoka_code:0</v>
      </c>
    </row>
    <row r="312" spans="1:36" s="1735" customFormat="1" ht="18.75" hidden="1" customHeight="1">
      <c r="A312" s="1766"/>
      <c r="B312" s="1765"/>
      <c r="C312" s="1764"/>
      <c r="D312" s="1763"/>
      <c r="E312" s="1793"/>
      <c r="F312" s="1761"/>
      <c r="G312" s="1762"/>
      <c r="H312" s="1788" t="s">
        <v>1665</v>
      </c>
      <c r="I312" s="1969" t="s">
        <v>194</v>
      </c>
      <c r="J312" s="1968" t="s">
        <v>750</v>
      </c>
      <c r="K312" s="1968"/>
      <c r="L312" s="1967" t="s">
        <v>194</v>
      </c>
      <c r="M312" s="1968" t="s">
        <v>764</v>
      </c>
      <c r="N312" s="1968"/>
      <c r="O312" s="1923"/>
      <c r="P312" s="1923"/>
      <c r="Q312" s="1923"/>
      <c r="R312" s="1923"/>
      <c r="S312" s="1923"/>
      <c r="T312" s="1923"/>
      <c r="U312" s="1923"/>
      <c r="V312" s="1923"/>
      <c r="W312" s="1923"/>
      <c r="X312" s="1956"/>
      <c r="Y312" s="1914"/>
      <c r="Z312" s="1913"/>
      <c r="AA312" s="1913"/>
      <c r="AB312" s="1794"/>
      <c r="AC312" s="1954"/>
      <c r="AD312" s="1954"/>
      <c r="AE312" s="1954"/>
      <c r="AF312" s="1954"/>
      <c r="AI312" s="1735" t="str">
        <f>"23:field221:" &amp; IF(I312="■",1,IF(L312="■",2,0))</f>
        <v>23:field221:0</v>
      </c>
    </row>
    <row r="313" spans="1:36" s="1735" customFormat="1" ht="18.75" hidden="1" customHeight="1">
      <c r="A313" s="1766"/>
      <c r="B313" s="1765"/>
      <c r="C313" s="1764"/>
      <c r="D313" s="1763"/>
      <c r="E313" s="1793"/>
      <c r="F313" s="1761"/>
      <c r="G313" s="1762"/>
      <c r="H313" s="1783"/>
      <c r="I313" s="1969"/>
      <c r="J313" s="1968"/>
      <c r="K313" s="1968"/>
      <c r="L313" s="1967"/>
      <c r="M313" s="1968"/>
      <c r="N313" s="1968"/>
      <c r="O313" s="1756"/>
      <c r="P313" s="1756"/>
      <c r="Q313" s="1756"/>
      <c r="R313" s="1756"/>
      <c r="S313" s="1756"/>
      <c r="T313" s="1756"/>
      <c r="U313" s="1756"/>
      <c r="V313" s="1756"/>
      <c r="W313" s="1756"/>
      <c r="X313" s="1814"/>
      <c r="Y313" s="1914"/>
      <c r="Z313" s="1913"/>
      <c r="AA313" s="1913"/>
      <c r="AB313" s="1794"/>
      <c r="AC313" s="1954"/>
      <c r="AD313" s="1954"/>
      <c r="AE313" s="1954"/>
      <c r="AF313" s="1954"/>
    </row>
    <row r="314" spans="1:36" s="1735" customFormat="1" ht="18.75" hidden="1" customHeight="1">
      <c r="A314" s="1766"/>
      <c r="B314" s="1765"/>
      <c r="C314" s="1764"/>
      <c r="D314" s="1763"/>
      <c r="E314" s="1762"/>
      <c r="F314" s="1761"/>
      <c r="G314" s="1762"/>
      <c r="H314" s="1952" t="s">
        <v>1553</v>
      </c>
      <c r="I314" s="1924" t="s">
        <v>194</v>
      </c>
      <c r="J314" s="1948" t="s">
        <v>750</v>
      </c>
      <c r="K314" s="1948"/>
      <c r="L314" s="1922" t="s">
        <v>194</v>
      </c>
      <c r="M314" s="1948" t="s">
        <v>1552</v>
      </c>
      <c r="N314" s="1951"/>
      <c r="O314" s="1922" t="s">
        <v>194</v>
      </c>
      <c r="P314" s="1950" t="s">
        <v>1551</v>
      </c>
      <c r="Q314" s="1949"/>
      <c r="R314" s="1922" t="s">
        <v>194</v>
      </c>
      <c r="S314" s="1948" t="s">
        <v>1550</v>
      </c>
      <c r="T314" s="1949"/>
      <c r="U314" s="1922" t="s">
        <v>194</v>
      </c>
      <c r="V314" s="1948" t="s">
        <v>1549</v>
      </c>
      <c r="W314" s="1947"/>
      <c r="X314" s="1946"/>
      <c r="Y314" s="1913"/>
      <c r="Z314" s="1913"/>
      <c r="AA314" s="1913"/>
      <c r="AB314" s="1794"/>
      <c r="AC314" s="1954"/>
      <c r="AD314" s="1954"/>
      <c r="AE314" s="1954"/>
      <c r="AF314" s="1954"/>
      <c r="AI314" s="1735" t="str">
        <f>"23:shoguukaizen_code:"&amp;IF(I314="■",1,IF(L314="■",7,IF(O314="■",8,IF(R314="■",9,IF(U314="■","A",0)))))</f>
        <v>23:shoguukaizen_code:0</v>
      </c>
    </row>
    <row r="315" spans="1:36" s="1735" customFormat="1" ht="18.75" hidden="1" customHeight="1">
      <c r="A315" s="1807"/>
      <c r="B315" s="1806"/>
      <c r="C315" s="1849"/>
      <c r="D315" s="1848"/>
      <c r="E315" s="1804"/>
      <c r="F315" s="1803"/>
      <c r="G315" s="1804"/>
      <c r="H315" s="1885" t="s">
        <v>746</v>
      </c>
      <c r="I315" s="1873" t="s">
        <v>194</v>
      </c>
      <c r="J315" s="1872" t="s">
        <v>747</v>
      </c>
      <c r="K315" s="1932"/>
      <c r="L315" s="2007"/>
      <c r="M315" s="1931" t="s">
        <v>194</v>
      </c>
      <c r="N315" s="1872" t="s">
        <v>1572</v>
      </c>
      <c r="O315" s="1930"/>
      <c r="P315" s="1930"/>
      <c r="Q315" s="1931" t="s">
        <v>194</v>
      </c>
      <c r="R315" s="1872" t="s">
        <v>1571</v>
      </c>
      <c r="S315" s="1930"/>
      <c r="T315" s="1930"/>
      <c r="U315" s="1931" t="s">
        <v>194</v>
      </c>
      <c r="V315" s="1872" t="s">
        <v>1570</v>
      </c>
      <c r="W315" s="1930"/>
      <c r="X315" s="1886"/>
      <c r="Y315" s="1931" t="s">
        <v>194</v>
      </c>
      <c r="Z315" s="1872" t="s">
        <v>749</v>
      </c>
      <c r="AA315" s="1872"/>
      <c r="AB315" s="1929"/>
      <c r="AC315" s="1959"/>
      <c r="AD315" s="1959"/>
      <c r="AE315" s="1959"/>
      <c r="AF315" s="1959"/>
      <c r="AG315" s="1735" t="str">
        <f>"ser_code = '" &amp; IF(A326="■",23,"") &amp; "'"</f>
        <v>ser_code = ''</v>
      </c>
      <c r="AH315" s="1735" t="str">
        <f>"23:jininkbn_code:" &amp; IF(F324="■",1,IF(F326="■",2,IF(F328="■",3,0)))</f>
        <v>23:jininkbn_code:0</v>
      </c>
      <c r="AI315" s="1735" t="str">
        <f>"23:yakan_kinmu_code:" &amp; IF(I315="■",1,IF(M315="■",2,IF(Q315="■",3,IF(U315="■",7,IF(I316="■",5,IF(M316="■",6,0))))))</f>
        <v>23:yakan_kinmu_code:0</v>
      </c>
      <c r="AJ315" s="1735" t="str">
        <f>"23:field203:" &amp; IF(Y315="■",1,IF(Y316="■",2,0))</f>
        <v>23:field203:0</v>
      </c>
    </row>
    <row r="316" spans="1:36" s="1735" customFormat="1" ht="18.75" hidden="1" customHeight="1">
      <c r="A316" s="1766"/>
      <c r="B316" s="1765"/>
      <c r="C316" s="1764"/>
      <c r="D316" s="1763"/>
      <c r="E316" s="1762"/>
      <c r="F316" s="1761"/>
      <c r="G316" s="1762"/>
      <c r="H316" s="1921"/>
      <c r="I316" s="1758" t="s">
        <v>194</v>
      </c>
      <c r="J316" s="1756" t="s">
        <v>1569</v>
      </c>
      <c r="K316" s="1755"/>
      <c r="L316" s="2006"/>
      <c r="M316" s="1757" t="s">
        <v>194</v>
      </c>
      <c r="N316" s="1756" t="s">
        <v>748</v>
      </c>
      <c r="O316" s="1780"/>
      <c r="P316" s="1780"/>
      <c r="Q316" s="1780"/>
      <c r="R316" s="1780"/>
      <c r="S316" s="1780"/>
      <c r="T316" s="1780"/>
      <c r="U316" s="1780"/>
      <c r="V316" s="1780"/>
      <c r="W316" s="1780"/>
      <c r="X316" s="1779"/>
      <c r="Y316" s="1878" t="s">
        <v>194</v>
      </c>
      <c r="Z316" s="1738" t="s">
        <v>754</v>
      </c>
      <c r="AA316" s="1913"/>
      <c r="AB316" s="1794"/>
      <c r="AC316" s="1970"/>
      <c r="AD316" s="1970"/>
      <c r="AE316" s="1970"/>
      <c r="AF316" s="1970"/>
      <c r="AG316" s="1735" t="str">
        <f>"23:sisetukbn_code:" &amp; IF(D326="■",6,0)</f>
        <v>23:sisetukbn_code:0</v>
      </c>
    </row>
    <row r="317" spans="1:36" s="1735" customFormat="1" ht="18.75" hidden="1" customHeight="1">
      <c r="A317" s="1766"/>
      <c r="B317" s="1765"/>
      <c r="C317" s="1764"/>
      <c r="D317" s="1763"/>
      <c r="E317" s="1762"/>
      <c r="F317" s="1761"/>
      <c r="G317" s="1762"/>
      <c r="H317" s="1769" t="s">
        <v>98</v>
      </c>
      <c r="I317" s="1773" t="s">
        <v>194</v>
      </c>
      <c r="J317" s="1754" t="s">
        <v>750</v>
      </c>
      <c r="K317" s="1754"/>
      <c r="L317" s="1791"/>
      <c r="M317" s="1772" t="s">
        <v>194</v>
      </c>
      <c r="N317" s="1754" t="s">
        <v>1568</v>
      </c>
      <c r="O317" s="1754"/>
      <c r="P317" s="1791"/>
      <c r="Q317" s="1772" t="s">
        <v>194</v>
      </c>
      <c r="R317" s="1771" t="s">
        <v>1615</v>
      </c>
      <c r="S317" s="1771"/>
      <c r="T317" s="1771"/>
      <c r="U317" s="1772" t="s">
        <v>194</v>
      </c>
      <c r="V317" s="1771" t="s">
        <v>1614</v>
      </c>
      <c r="W317" s="1768"/>
      <c r="X317" s="1767"/>
      <c r="Y317" s="1914"/>
      <c r="Z317" s="1913"/>
      <c r="AA317" s="1913"/>
      <c r="AB317" s="1794"/>
      <c r="AC317" s="1954"/>
      <c r="AD317" s="1954"/>
      <c r="AE317" s="1954"/>
      <c r="AF317" s="1954"/>
      <c r="AI317" s="1735" t="str">
        <f>"23:"&amp;IF(AND(I317="□",M317="□",Q317="□",U317="□"),"ketu_doctor_code:0",IF(I317="■","ketu_doctor_code:1:ketu_kangos_code:1:ketu_kshoku_code:1",
IF(M317="■","ketu_doctor_code:2","ketu_doctor_code:1")
&amp;IF(Q317="■",":ketu_kangos_code:2",":ketu_kangos_code:1")
&amp;IF(U317="■",":ketu_kshoku_code:2",":ketu_kshoku_code:1")))</f>
        <v>23:ketu_doctor_code:0</v>
      </c>
    </row>
    <row r="318" spans="1:36" s="1735" customFormat="1" ht="18.75" hidden="1" customHeight="1">
      <c r="A318" s="1766"/>
      <c r="B318" s="1765"/>
      <c r="C318" s="1764"/>
      <c r="D318" s="1763"/>
      <c r="E318" s="1762"/>
      <c r="F318" s="1761"/>
      <c r="G318" s="1762"/>
      <c r="H318" s="1769" t="s">
        <v>99</v>
      </c>
      <c r="I318" s="1773" t="s">
        <v>194</v>
      </c>
      <c r="J318" s="1754" t="s">
        <v>755</v>
      </c>
      <c r="K318" s="1789"/>
      <c r="L318" s="1791"/>
      <c r="M318" s="1772" t="s">
        <v>194</v>
      </c>
      <c r="N318" s="1754" t="s">
        <v>756</v>
      </c>
      <c r="O318" s="1768"/>
      <c r="P318" s="1768"/>
      <c r="Q318" s="1768"/>
      <c r="R318" s="1768"/>
      <c r="S318" s="1768"/>
      <c r="T318" s="1768"/>
      <c r="U318" s="1768"/>
      <c r="V318" s="1768"/>
      <c r="W318" s="1768"/>
      <c r="X318" s="1767"/>
      <c r="Y318" s="1914"/>
      <c r="Z318" s="1913"/>
      <c r="AA318" s="1913"/>
      <c r="AB318" s="1794"/>
      <c r="AC318" s="1954"/>
      <c r="AD318" s="1954"/>
      <c r="AE318" s="1954"/>
      <c r="AF318" s="1954"/>
      <c r="AI318" s="1735" t="str">
        <f>"23:unitcare_code:" &amp; IF(I318="■",1,IF(M318="■",2,0))</f>
        <v>23:unitcare_code:0</v>
      </c>
    </row>
    <row r="319" spans="1:36" s="1735" customFormat="1" ht="18.75" hidden="1" customHeight="1">
      <c r="A319" s="1766"/>
      <c r="B319" s="1765"/>
      <c r="C319" s="1916"/>
      <c r="D319" s="1915"/>
      <c r="E319" s="1762"/>
      <c r="F319" s="1761"/>
      <c r="G319" s="1793"/>
      <c r="H319" s="2002" t="s">
        <v>757</v>
      </c>
      <c r="I319" s="1842" t="s">
        <v>194</v>
      </c>
      <c r="J319" s="1837" t="s">
        <v>758</v>
      </c>
      <c r="K319" s="1841"/>
      <c r="L319" s="1840"/>
      <c r="M319" s="1839" t="s">
        <v>194</v>
      </c>
      <c r="N319" s="1837" t="s">
        <v>759</v>
      </c>
      <c r="O319" s="1841"/>
      <c r="P319" s="2001"/>
      <c r="Q319" s="2001"/>
      <c r="R319" s="2001"/>
      <c r="S319" s="2001"/>
      <c r="T319" s="2001"/>
      <c r="U319" s="2001"/>
      <c r="V319" s="2001"/>
      <c r="W319" s="2001"/>
      <c r="X319" s="2000"/>
      <c r="Y319" s="1914"/>
      <c r="Z319" s="1913"/>
      <c r="AA319" s="1913"/>
      <c r="AB319" s="1794"/>
      <c r="AC319" s="1954"/>
      <c r="AD319" s="1954"/>
      <c r="AE319" s="1954"/>
      <c r="AF319" s="1954"/>
      <c r="AI319" s="1735" t="str">
        <f>"23:sintaikousoku_code:" &amp; IF(I319="■",1,IF(M319="■",2,0))</f>
        <v>23:sintaikousoku_code:0</v>
      </c>
    </row>
    <row r="320" spans="1:36" s="1735" customFormat="1" ht="19.5" hidden="1" customHeight="1">
      <c r="A320" s="1766"/>
      <c r="B320" s="1765"/>
      <c r="C320" s="1764"/>
      <c r="D320" s="1763"/>
      <c r="E320" s="1762"/>
      <c r="F320" s="1761"/>
      <c r="G320" s="1793"/>
      <c r="H320" s="1792" t="s">
        <v>760</v>
      </c>
      <c r="I320" s="1773" t="s">
        <v>194</v>
      </c>
      <c r="J320" s="1754" t="s">
        <v>758</v>
      </c>
      <c r="K320" s="1789"/>
      <c r="L320" s="1791"/>
      <c r="M320" s="1772" t="s">
        <v>194</v>
      </c>
      <c r="N320" s="1754" t="s">
        <v>761</v>
      </c>
      <c r="O320" s="1920"/>
      <c r="P320" s="1754"/>
      <c r="Q320" s="1768"/>
      <c r="R320" s="1768"/>
      <c r="S320" s="1768"/>
      <c r="T320" s="1768"/>
      <c r="U320" s="1768"/>
      <c r="V320" s="1768"/>
      <c r="W320" s="1768"/>
      <c r="X320" s="1767"/>
      <c r="Y320" s="1913"/>
      <c r="Z320" s="1913"/>
      <c r="AA320" s="1913"/>
      <c r="AB320" s="1794"/>
      <c r="AC320" s="1954"/>
      <c r="AD320" s="1954"/>
      <c r="AE320" s="1954"/>
      <c r="AF320" s="1954"/>
      <c r="AI320" s="1735" t="str">
        <f>"23:field223:" &amp; IF(I320="■",1,IF(M320="■",2,0))</f>
        <v>23:field223:0</v>
      </c>
    </row>
    <row r="321" spans="1:35" s="1735" customFormat="1" ht="19.5" hidden="1" customHeight="1">
      <c r="A321" s="1766"/>
      <c r="B321" s="1765"/>
      <c r="C321" s="1764"/>
      <c r="D321" s="1763"/>
      <c r="E321" s="1762"/>
      <c r="F321" s="1761"/>
      <c r="G321" s="1793"/>
      <c r="H321" s="1792" t="s">
        <v>762</v>
      </c>
      <c r="I321" s="1773" t="s">
        <v>194</v>
      </c>
      <c r="J321" s="1754" t="s">
        <v>758</v>
      </c>
      <c r="K321" s="1789"/>
      <c r="L321" s="1791"/>
      <c r="M321" s="1772" t="s">
        <v>194</v>
      </c>
      <c r="N321" s="1754" t="s">
        <v>761</v>
      </c>
      <c r="O321" s="1920"/>
      <c r="P321" s="1754"/>
      <c r="Q321" s="1768"/>
      <c r="R321" s="1768"/>
      <c r="S321" s="1768"/>
      <c r="T321" s="1768"/>
      <c r="U321" s="1768"/>
      <c r="V321" s="1768"/>
      <c r="W321" s="1768"/>
      <c r="X321" s="1767"/>
      <c r="Y321" s="1913"/>
      <c r="Z321" s="1913"/>
      <c r="AA321" s="1913"/>
      <c r="AB321" s="1794"/>
      <c r="AC321" s="1954"/>
      <c r="AD321" s="1954"/>
      <c r="AE321" s="1954"/>
      <c r="AF321" s="1954"/>
      <c r="AI321" s="1735" t="str">
        <f>"23:field232:" &amp; IF(I321="■",1,IF(M321="■",2,0))</f>
        <v>23:field232:0</v>
      </c>
    </row>
    <row r="322" spans="1:35" s="1735" customFormat="1" ht="18.75" hidden="1" customHeight="1">
      <c r="A322" s="1766"/>
      <c r="B322" s="1765"/>
      <c r="C322" s="1764"/>
      <c r="D322" s="1763"/>
      <c r="E322" s="1762"/>
      <c r="F322" s="1761"/>
      <c r="G322" s="1762"/>
      <c r="H322" s="1769" t="s">
        <v>1704</v>
      </c>
      <c r="I322" s="1773" t="s">
        <v>194</v>
      </c>
      <c r="J322" s="1754" t="s">
        <v>747</v>
      </c>
      <c r="K322" s="1789"/>
      <c r="L322" s="1791"/>
      <c r="M322" s="1772" t="s">
        <v>194</v>
      </c>
      <c r="N322" s="1754" t="s">
        <v>1556</v>
      </c>
      <c r="O322" s="1771"/>
      <c r="P322" s="1771"/>
      <c r="Q322" s="1771"/>
      <c r="R322" s="1771"/>
      <c r="S322" s="1768"/>
      <c r="T322" s="1768"/>
      <c r="U322" s="1768"/>
      <c r="V322" s="1768"/>
      <c r="W322" s="1768"/>
      <c r="X322" s="1767"/>
      <c r="Y322" s="1914"/>
      <c r="Z322" s="1913"/>
      <c r="AA322" s="1913"/>
      <c r="AB322" s="1794"/>
      <c r="AC322" s="1954"/>
      <c r="AD322" s="1954"/>
      <c r="AE322" s="1954"/>
      <c r="AF322" s="1954"/>
      <c r="AI322" s="1735" t="str">
        <f>"23:ryokan_code:" &amp; IF(I322="■",1,IF(M322="■",2,0))</f>
        <v>23:ryokan_code:0</v>
      </c>
    </row>
    <row r="323" spans="1:35" s="1735" customFormat="1" ht="18.75" hidden="1" customHeight="1">
      <c r="A323" s="1766"/>
      <c r="B323" s="1765"/>
      <c r="C323" s="1764"/>
      <c r="D323" s="1763"/>
      <c r="E323" s="1762"/>
      <c r="F323" s="1761"/>
      <c r="G323" s="1762"/>
      <c r="H323" s="1769" t="s">
        <v>1703</v>
      </c>
      <c r="I323" s="1773" t="s">
        <v>194</v>
      </c>
      <c r="J323" s="1754" t="s">
        <v>1702</v>
      </c>
      <c r="K323" s="1789"/>
      <c r="L323" s="1791"/>
      <c r="M323" s="1772" t="s">
        <v>194</v>
      </c>
      <c r="N323" s="1754" t="s">
        <v>1701</v>
      </c>
      <c r="O323" s="1768"/>
      <c r="P323" s="1768"/>
      <c r="Q323" s="1768"/>
      <c r="R323" s="1771"/>
      <c r="S323" s="1768"/>
      <c r="T323" s="1768"/>
      <c r="U323" s="1768"/>
      <c r="V323" s="1768"/>
      <c r="W323" s="1768"/>
      <c r="X323" s="1767"/>
      <c r="Y323" s="1914"/>
      <c r="Z323" s="1913"/>
      <c r="AA323" s="1913"/>
      <c r="AB323" s="1794"/>
      <c r="AC323" s="1954"/>
      <c r="AD323" s="1954"/>
      <c r="AE323" s="1954"/>
      <c r="AF323" s="1954"/>
      <c r="AI323" s="1735" t="str">
        <f>"23:doctor_haiti_code:" &amp; IF(I323="■",1,IF(M323="■",2,0))</f>
        <v>23:doctor_haiti_code:0</v>
      </c>
    </row>
    <row r="324" spans="1:35" s="1735" customFormat="1" ht="18.75" hidden="1" customHeight="1">
      <c r="A324" s="1766"/>
      <c r="B324" s="1765"/>
      <c r="C324" s="1764"/>
      <c r="D324" s="1763"/>
      <c r="E324" s="1762"/>
      <c r="F324" s="1878" t="s">
        <v>194</v>
      </c>
      <c r="G324" s="1762" t="s">
        <v>1686</v>
      </c>
      <c r="H324" s="1769" t="s">
        <v>1498</v>
      </c>
      <c r="I324" s="1773" t="s">
        <v>194</v>
      </c>
      <c r="J324" s="1754" t="s">
        <v>750</v>
      </c>
      <c r="K324" s="1789"/>
      <c r="L324" s="1772" t="s">
        <v>194</v>
      </c>
      <c r="M324" s="1754" t="s">
        <v>764</v>
      </c>
      <c r="N324" s="1768"/>
      <c r="O324" s="1768"/>
      <c r="P324" s="1768"/>
      <c r="Q324" s="1768"/>
      <c r="R324" s="1768"/>
      <c r="S324" s="1768"/>
      <c r="T324" s="1768"/>
      <c r="U324" s="1768"/>
      <c r="V324" s="1768"/>
      <c r="W324" s="1768"/>
      <c r="X324" s="1767"/>
      <c r="Y324" s="1914"/>
      <c r="Z324" s="1913"/>
      <c r="AA324" s="1913"/>
      <c r="AB324" s="1794"/>
      <c r="AC324" s="1954"/>
      <c r="AD324" s="1954"/>
      <c r="AE324" s="1954"/>
      <c r="AF324" s="1954"/>
      <c r="AI324" s="1735" t="str">
        <f>"23:jyakuninti_uke_code:" &amp; IF(I324="■",1,IF(L324="■",2,0))</f>
        <v>23:jyakuninti_uke_code:0</v>
      </c>
    </row>
    <row r="325" spans="1:35" s="1735" customFormat="1" ht="18.75" hidden="1" customHeight="1">
      <c r="A325" s="1766"/>
      <c r="B325" s="1765"/>
      <c r="C325" s="1764"/>
      <c r="D325" s="1763"/>
      <c r="E325" s="1762"/>
      <c r="F325" s="1763"/>
      <c r="G325" s="1762" t="s">
        <v>1685</v>
      </c>
      <c r="H325" s="1769" t="s">
        <v>1666</v>
      </c>
      <c r="I325" s="1773" t="s">
        <v>194</v>
      </c>
      <c r="J325" s="1754" t="s">
        <v>755</v>
      </c>
      <c r="K325" s="1789"/>
      <c r="L325" s="1791"/>
      <c r="M325" s="1772" t="s">
        <v>194</v>
      </c>
      <c r="N325" s="1754" t="s">
        <v>756</v>
      </c>
      <c r="O325" s="1768"/>
      <c r="P325" s="1768"/>
      <c r="Q325" s="1768"/>
      <c r="R325" s="1768"/>
      <c r="S325" s="1768"/>
      <c r="T325" s="1768"/>
      <c r="U325" s="1768"/>
      <c r="V325" s="1768"/>
      <c r="W325" s="1768"/>
      <c r="X325" s="1767"/>
      <c r="Y325" s="1914"/>
      <c r="Z325" s="1913"/>
      <c r="AA325" s="1913"/>
      <c r="AB325" s="1794"/>
      <c r="AC325" s="1954"/>
      <c r="AD325" s="1954"/>
      <c r="AE325" s="1954"/>
      <c r="AF325" s="1954"/>
      <c r="AI325" s="1735" t="str">
        <f>"23:sougei_code:" &amp; IF(I325="■",1,IF(M325="■",2,0))</f>
        <v>23:sougei_code:0</v>
      </c>
    </row>
    <row r="326" spans="1:35" s="1735" customFormat="1" ht="19.5" hidden="1" customHeight="1">
      <c r="A326" s="1776" t="s">
        <v>194</v>
      </c>
      <c r="B326" s="1765">
        <v>23</v>
      </c>
      <c r="C326" s="1764" t="s">
        <v>1668</v>
      </c>
      <c r="D326" s="1878" t="s">
        <v>194</v>
      </c>
      <c r="E326" s="1762" t="s">
        <v>1705</v>
      </c>
      <c r="F326" s="1878" t="s">
        <v>194</v>
      </c>
      <c r="G326" s="1762" t="s">
        <v>1683</v>
      </c>
      <c r="H326" s="1792" t="s">
        <v>1516</v>
      </c>
      <c r="I326" s="1773" t="s">
        <v>194</v>
      </c>
      <c r="J326" s="1754" t="s">
        <v>750</v>
      </c>
      <c r="K326" s="1754"/>
      <c r="L326" s="1772" t="s">
        <v>194</v>
      </c>
      <c r="M326" s="1754" t="s">
        <v>764</v>
      </c>
      <c r="N326" s="1754"/>
      <c r="O326" s="1768"/>
      <c r="P326" s="1754"/>
      <c r="Q326" s="1768"/>
      <c r="R326" s="1768"/>
      <c r="S326" s="1768"/>
      <c r="T326" s="1768"/>
      <c r="U326" s="1768"/>
      <c r="V326" s="1768"/>
      <c r="W326" s="1768"/>
      <c r="X326" s="1767"/>
      <c r="Y326" s="1913"/>
      <c r="Z326" s="1913"/>
      <c r="AA326" s="1913"/>
      <c r="AB326" s="1794"/>
      <c r="AC326" s="1954"/>
      <c r="AD326" s="1954"/>
      <c r="AE326" s="1954"/>
      <c r="AF326" s="1954"/>
      <c r="AI326" s="1735" t="str">
        <f>"23:field224:" &amp; IF(I326="■",1,IF(L326="■",2,0))</f>
        <v>23:field224:0</v>
      </c>
    </row>
    <row r="327" spans="1:35" s="1735" customFormat="1" ht="18.75" hidden="1" customHeight="1">
      <c r="A327" s="1766"/>
      <c r="B327" s="1765"/>
      <c r="C327" s="1764"/>
      <c r="D327" s="1763"/>
      <c r="E327" s="1762"/>
      <c r="F327" s="1763"/>
      <c r="G327" s="1762" t="s">
        <v>1682</v>
      </c>
      <c r="H327" s="1769" t="s">
        <v>787</v>
      </c>
      <c r="I327" s="1773" t="s">
        <v>194</v>
      </c>
      <c r="J327" s="1754" t="s">
        <v>750</v>
      </c>
      <c r="K327" s="1789"/>
      <c r="L327" s="1772" t="s">
        <v>194</v>
      </c>
      <c r="M327" s="1754" t="s">
        <v>764</v>
      </c>
      <c r="N327" s="1768"/>
      <c r="O327" s="1768"/>
      <c r="P327" s="1768"/>
      <c r="Q327" s="1768"/>
      <c r="R327" s="1768"/>
      <c r="S327" s="1768"/>
      <c r="T327" s="1768"/>
      <c r="U327" s="1768"/>
      <c r="V327" s="1768"/>
      <c r="W327" s="1768"/>
      <c r="X327" s="1767"/>
      <c r="Y327" s="1914"/>
      <c r="Z327" s="1913"/>
      <c r="AA327" s="1913"/>
      <c r="AB327" s="1794"/>
      <c r="AC327" s="1954"/>
      <c r="AD327" s="1954"/>
      <c r="AE327" s="1954"/>
      <c r="AF327" s="1954"/>
      <c r="AI327" s="1735" t="str">
        <f>"23:ryouyoushoku_code:" &amp; IF(I327="■",1,IF(L327="■",2,0))</f>
        <v>23:ryouyoushoku_code:0</v>
      </c>
    </row>
    <row r="328" spans="1:35" s="1735" customFormat="1" ht="18.75" hidden="1" customHeight="1">
      <c r="A328" s="1766"/>
      <c r="B328" s="1765"/>
      <c r="C328" s="1764"/>
      <c r="D328" s="1763"/>
      <c r="E328" s="1762"/>
      <c r="F328" s="1878" t="s">
        <v>194</v>
      </c>
      <c r="G328" s="1762" t="s">
        <v>1680</v>
      </c>
      <c r="H328" s="1769" t="s">
        <v>1681</v>
      </c>
      <c r="I328" s="1773" t="s">
        <v>194</v>
      </c>
      <c r="J328" s="1754" t="s">
        <v>750</v>
      </c>
      <c r="K328" s="1754"/>
      <c r="L328" s="1772" t="s">
        <v>194</v>
      </c>
      <c r="M328" s="1754" t="s">
        <v>784</v>
      </c>
      <c r="N328" s="1754"/>
      <c r="O328" s="1772" t="s">
        <v>194</v>
      </c>
      <c r="P328" s="1754" t="s">
        <v>785</v>
      </c>
      <c r="Q328" s="1768"/>
      <c r="R328" s="1768"/>
      <c r="S328" s="1768"/>
      <c r="T328" s="1768"/>
      <c r="U328" s="1768"/>
      <c r="V328" s="1768"/>
      <c r="W328" s="1768"/>
      <c r="X328" s="1767"/>
      <c r="Y328" s="1914"/>
      <c r="Z328" s="1913"/>
      <c r="AA328" s="1913"/>
      <c r="AB328" s="1794"/>
      <c r="AC328" s="1954"/>
      <c r="AD328" s="1954"/>
      <c r="AE328" s="1954"/>
      <c r="AF328" s="1954"/>
      <c r="AI328" s="1735" t="str">
        <f>"23:ninti_senmoncare_code:" &amp; IF(I328="■",1,IF(O328="■",3,IF(L328="■",2,0)))</f>
        <v>23:ninti_senmoncare_code:0</v>
      </c>
    </row>
    <row r="329" spans="1:35" s="1735" customFormat="1" ht="18.75" hidden="1" customHeight="1">
      <c r="A329" s="1766"/>
      <c r="B329" s="1765"/>
      <c r="C329" s="1764"/>
      <c r="D329" s="1763"/>
      <c r="E329" s="1762"/>
      <c r="F329" s="1763"/>
      <c r="G329" s="1762" t="s">
        <v>1679</v>
      </c>
      <c r="H329" s="1917" t="s">
        <v>794</v>
      </c>
      <c r="I329" s="1773" t="s">
        <v>194</v>
      </c>
      <c r="J329" s="1754" t="s">
        <v>750</v>
      </c>
      <c r="K329" s="1754"/>
      <c r="L329" s="1772" t="s">
        <v>194</v>
      </c>
      <c r="M329" s="1754" t="s">
        <v>784</v>
      </c>
      <c r="N329" s="1754"/>
      <c r="O329" s="1772" t="s">
        <v>194</v>
      </c>
      <c r="P329" s="1754" t="s">
        <v>785</v>
      </c>
      <c r="Q329" s="1768"/>
      <c r="R329" s="1768"/>
      <c r="S329" s="1768"/>
      <c r="T329" s="1768"/>
      <c r="U329" s="1829"/>
      <c r="V329" s="1829"/>
      <c r="W329" s="1829"/>
      <c r="X329" s="1828"/>
      <c r="Y329" s="1914"/>
      <c r="Z329" s="1913"/>
      <c r="AA329" s="1913"/>
      <c r="AB329" s="1794"/>
      <c r="AC329" s="1954"/>
      <c r="AD329" s="1954"/>
      <c r="AE329" s="1954"/>
      <c r="AF329" s="1954"/>
      <c r="AI329" s="1735" t="str">
        <f>"23:field225:" &amp; IF(I329="■",1,IF(L329="■",2,IF(O329="■",3,0)))</f>
        <v>23:field225:0</v>
      </c>
    </row>
    <row r="330" spans="1:35" s="1735" customFormat="1" ht="18.75" hidden="1" customHeight="1">
      <c r="A330" s="1766"/>
      <c r="B330" s="1765"/>
      <c r="C330" s="1764"/>
      <c r="D330" s="1763"/>
      <c r="E330" s="1762"/>
      <c r="F330" s="1763"/>
      <c r="G330" s="1762"/>
      <c r="H330" s="1925" t="s">
        <v>1690</v>
      </c>
      <c r="I330" s="1924" t="s">
        <v>194</v>
      </c>
      <c r="J330" s="1923" t="s">
        <v>1589</v>
      </c>
      <c r="K330" s="1923"/>
      <c r="L330" s="1829"/>
      <c r="M330" s="1829"/>
      <c r="N330" s="1829"/>
      <c r="O330" s="1829"/>
      <c r="P330" s="1922" t="s">
        <v>194</v>
      </c>
      <c r="Q330" s="1923" t="s">
        <v>1588</v>
      </c>
      <c r="R330" s="1829"/>
      <c r="S330" s="1829"/>
      <c r="T330" s="1829"/>
      <c r="U330" s="1829"/>
      <c r="V330" s="1829"/>
      <c r="W330" s="1829"/>
      <c r="X330" s="1828"/>
      <c r="Y330" s="1914"/>
      <c r="Z330" s="1913"/>
      <c r="AA330" s="1913"/>
      <c r="AB330" s="1794"/>
      <c r="AC330" s="1954"/>
      <c r="AD330" s="1954"/>
      <c r="AE330" s="1954"/>
      <c r="AF330" s="1954"/>
      <c r="AI330" s="1735" t="str">
        <f>"23:" &amp; IF(AND(I330="□",P330="□",I331="□"),"tokusin_jyusho_code:0:tokusin_yakuzai_code:0:shuudan_comu_code:0",IF(I330="■","tokusin_jyusho_code:2","tokusin_jyusho_code:1")
&amp;IF(P330="■",":tokusin_yakuzai_code:2",":tokusin_yakuzai_code:1")
&amp;IF(I331="■",":shuudan_comu_code:2",":shuudan_comu_code:1"))</f>
        <v>23:tokusin_jyusho_code:0:tokusin_yakuzai_code:0:shuudan_comu_code:0</v>
      </c>
    </row>
    <row r="331" spans="1:35" s="1735" customFormat="1" ht="18.75" hidden="1" customHeight="1">
      <c r="A331" s="1766"/>
      <c r="B331" s="1765"/>
      <c r="C331" s="1764"/>
      <c r="D331" s="1763"/>
      <c r="E331" s="1762"/>
      <c r="F331" s="1763"/>
      <c r="G331" s="1762"/>
      <c r="H331" s="1921"/>
      <c r="I331" s="1758" t="s">
        <v>194</v>
      </c>
      <c r="J331" s="1756" t="s">
        <v>1585</v>
      </c>
      <c r="K331" s="1827"/>
      <c r="L331" s="1827"/>
      <c r="M331" s="1827"/>
      <c r="N331" s="1827"/>
      <c r="O331" s="1827"/>
      <c r="P331" s="1827"/>
      <c r="Q331" s="1780"/>
      <c r="R331" s="1827"/>
      <c r="S331" s="1827"/>
      <c r="T331" s="1827"/>
      <c r="U331" s="1827"/>
      <c r="V331" s="1827"/>
      <c r="W331" s="1827"/>
      <c r="X331" s="1826"/>
      <c r="Y331" s="1914"/>
      <c r="Z331" s="1913"/>
      <c r="AA331" s="1913"/>
      <c r="AB331" s="1794"/>
      <c r="AC331" s="1954"/>
      <c r="AD331" s="1954"/>
      <c r="AE331" s="1954"/>
      <c r="AF331" s="1954"/>
    </row>
    <row r="332" spans="1:35" s="1735" customFormat="1" ht="18.75" hidden="1" customHeight="1">
      <c r="A332" s="1766"/>
      <c r="B332" s="1765"/>
      <c r="C332" s="1764"/>
      <c r="D332" s="1763"/>
      <c r="E332" s="1762"/>
      <c r="F332" s="1763"/>
      <c r="G332" s="1762"/>
      <c r="H332" s="1925" t="s">
        <v>1584</v>
      </c>
      <c r="I332" s="1924" t="s">
        <v>194</v>
      </c>
      <c r="J332" s="1923" t="s">
        <v>1583</v>
      </c>
      <c r="K332" s="1938"/>
      <c r="L332" s="1937"/>
      <c r="M332" s="1922" t="s">
        <v>194</v>
      </c>
      <c r="N332" s="1923" t="s">
        <v>1582</v>
      </c>
      <c r="O332" s="1829"/>
      <c r="P332" s="1829"/>
      <c r="Q332" s="1922" t="s">
        <v>194</v>
      </c>
      <c r="R332" s="1923" t="s">
        <v>1581</v>
      </c>
      <c r="S332" s="1829"/>
      <c r="T332" s="1829"/>
      <c r="U332" s="1829"/>
      <c r="V332" s="1829"/>
      <c r="W332" s="1829"/>
      <c r="X332" s="1828"/>
      <c r="Y332" s="1914"/>
      <c r="Z332" s="1913"/>
      <c r="AA332" s="1913"/>
      <c r="AB332" s="1794"/>
      <c r="AC332" s="1954"/>
      <c r="AD332" s="1954"/>
      <c r="AE332" s="1954"/>
      <c r="AF332" s="1954"/>
      <c r="AI332" s="1735" t="str">
        <f>"23:"&amp;IF(AND(I332="□",M332="□",Q332="□",I333="□",Q333="□"),"koriha_rryoho1_code:0:koriha_sryoho_code:0:koriha_gengo_code:0:riha_seisin_code:0:koriha_other_code:0",IF(I332="■","koriha_rryoho1_code:2","koriha_rryoho1_code:1")
&amp;IF(M332="■",":koriha_sryoho_code:2",":koriha_sryoho_code:1")
&amp;IF(Q332="■",":koriha_gengo_code:2",":koriha_gengo_code:1")
&amp;IF(I333="■",":riha_seisin_code:2",":riha_seisin_code:1")
&amp;IF(Q333="■",":koriha_other_code:2",":koriha_other_code:1"))</f>
        <v>23:koriha_rryoho1_code:0:koriha_sryoho_code:0:koriha_gengo_code:0:riha_seisin_code:0:koriha_other_code:0</v>
      </c>
    </row>
    <row r="333" spans="1:35" s="1735" customFormat="1" ht="18.75" hidden="1" customHeight="1">
      <c r="A333" s="1766"/>
      <c r="B333" s="1765"/>
      <c r="C333" s="1764"/>
      <c r="D333" s="1763"/>
      <c r="E333" s="1762"/>
      <c r="F333" s="1763"/>
      <c r="G333" s="1762"/>
      <c r="H333" s="1921"/>
      <c r="I333" s="1758" t="s">
        <v>194</v>
      </c>
      <c r="J333" s="1756" t="s">
        <v>1580</v>
      </c>
      <c r="K333" s="1827"/>
      <c r="L333" s="1827"/>
      <c r="M333" s="1827"/>
      <c r="N333" s="1827"/>
      <c r="O333" s="1827"/>
      <c r="P333" s="1827"/>
      <c r="Q333" s="1757" t="s">
        <v>194</v>
      </c>
      <c r="R333" s="1756" t="s">
        <v>1579</v>
      </c>
      <c r="S333" s="1780"/>
      <c r="T333" s="1827"/>
      <c r="U333" s="1827"/>
      <c r="V333" s="1827"/>
      <c r="W333" s="1827"/>
      <c r="X333" s="1826"/>
      <c r="Y333" s="1914"/>
      <c r="Z333" s="1913"/>
      <c r="AA333" s="1913"/>
      <c r="AB333" s="1794"/>
      <c r="AC333" s="1954"/>
      <c r="AD333" s="1954"/>
      <c r="AE333" s="1954"/>
      <c r="AF333" s="1954"/>
    </row>
    <row r="334" spans="1:35" s="1735" customFormat="1" ht="18.75" hidden="1" customHeight="1">
      <c r="A334" s="1766"/>
      <c r="B334" s="1765"/>
      <c r="C334" s="1764"/>
      <c r="D334" s="1763"/>
      <c r="E334" s="1762"/>
      <c r="F334" s="1763"/>
      <c r="G334" s="1762"/>
      <c r="H334" s="1777" t="s">
        <v>795</v>
      </c>
      <c r="I334" s="1773" t="s">
        <v>194</v>
      </c>
      <c r="J334" s="1754" t="s">
        <v>750</v>
      </c>
      <c r="K334" s="1754"/>
      <c r="L334" s="1772" t="s">
        <v>194</v>
      </c>
      <c r="M334" s="1754" t="s">
        <v>796</v>
      </c>
      <c r="N334" s="1754"/>
      <c r="O334" s="1772" t="s">
        <v>194</v>
      </c>
      <c r="P334" s="1754" t="s">
        <v>797</v>
      </c>
      <c r="Q334" s="1771"/>
      <c r="R334" s="1772" t="s">
        <v>194</v>
      </c>
      <c r="S334" s="1754" t="s">
        <v>798</v>
      </c>
      <c r="T334" s="1771"/>
      <c r="U334" s="1771"/>
      <c r="V334" s="1771"/>
      <c r="W334" s="1771"/>
      <c r="X334" s="1770"/>
      <c r="Y334" s="1914"/>
      <c r="Z334" s="1913"/>
      <c r="AA334" s="1913"/>
      <c r="AB334" s="1794"/>
      <c r="AC334" s="1954"/>
      <c r="AD334" s="1954"/>
      <c r="AE334" s="1954"/>
      <c r="AF334" s="1954"/>
      <c r="AI334" s="1735" t="str">
        <f>"23:serteikyo_kyoka_code:" &amp; IF(I334="■",1,IF(L334="■",6,IF(O334="■",5,IF(R334="■",7,0))))</f>
        <v>23:serteikyo_kyoka_code:0</v>
      </c>
    </row>
    <row r="335" spans="1:35" s="1735" customFormat="1" ht="18.75" hidden="1" customHeight="1">
      <c r="A335" s="1766"/>
      <c r="B335" s="1765"/>
      <c r="C335" s="1764"/>
      <c r="D335" s="1763"/>
      <c r="E335" s="1762"/>
      <c r="F335" s="1763"/>
      <c r="G335" s="1762"/>
      <c r="H335" s="1788" t="s">
        <v>1665</v>
      </c>
      <c r="I335" s="1969" t="s">
        <v>194</v>
      </c>
      <c r="J335" s="1968" t="s">
        <v>750</v>
      </c>
      <c r="K335" s="1968"/>
      <c r="L335" s="1967" t="s">
        <v>194</v>
      </c>
      <c r="M335" s="1968" t="s">
        <v>764</v>
      </c>
      <c r="N335" s="1968"/>
      <c r="O335" s="1923"/>
      <c r="P335" s="1923"/>
      <c r="Q335" s="1923"/>
      <c r="R335" s="1923"/>
      <c r="S335" s="1923"/>
      <c r="T335" s="1923"/>
      <c r="U335" s="1923"/>
      <c r="V335" s="1923"/>
      <c r="W335" s="1923"/>
      <c r="X335" s="1956"/>
      <c r="Y335" s="1914"/>
      <c r="Z335" s="1913"/>
      <c r="AA335" s="1913"/>
      <c r="AB335" s="1794"/>
      <c r="AC335" s="1954"/>
      <c r="AD335" s="1954"/>
      <c r="AE335" s="1954"/>
      <c r="AF335" s="1954"/>
      <c r="AI335" s="1735" t="str">
        <f>"23:field221:" &amp; IF(I335="■",1,IF(L335="■",2,0))</f>
        <v>23:field221:0</v>
      </c>
    </row>
    <row r="336" spans="1:35" s="1735" customFormat="1" ht="18.75" hidden="1" customHeight="1">
      <c r="A336" s="1766"/>
      <c r="B336" s="1765"/>
      <c r="C336" s="1764"/>
      <c r="D336" s="1763"/>
      <c r="E336" s="1762"/>
      <c r="F336" s="1763"/>
      <c r="G336" s="1762"/>
      <c r="H336" s="1783"/>
      <c r="I336" s="1969"/>
      <c r="J336" s="1968"/>
      <c r="K336" s="1968"/>
      <c r="L336" s="1967"/>
      <c r="M336" s="1968"/>
      <c r="N336" s="1968"/>
      <c r="O336" s="1756"/>
      <c r="P336" s="1756"/>
      <c r="Q336" s="1756"/>
      <c r="R336" s="1756"/>
      <c r="S336" s="1756"/>
      <c r="T336" s="1756"/>
      <c r="U336" s="1756"/>
      <c r="V336" s="1756"/>
      <c r="W336" s="1756"/>
      <c r="X336" s="1814"/>
      <c r="Y336" s="1914"/>
      <c r="Z336" s="1913"/>
      <c r="AA336" s="1913"/>
      <c r="AB336" s="1794"/>
      <c r="AC336" s="1954"/>
      <c r="AD336" s="1954"/>
      <c r="AE336" s="1954"/>
      <c r="AF336" s="1954"/>
    </row>
    <row r="337" spans="1:36" s="1735" customFormat="1" ht="18.75" hidden="1" customHeight="1">
      <c r="A337" s="1752"/>
      <c r="B337" s="1751"/>
      <c r="C337" s="1750"/>
      <c r="D337" s="1749"/>
      <c r="E337" s="1748"/>
      <c r="F337" s="1749"/>
      <c r="G337" s="1808"/>
      <c r="H337" s="1909" t="s">
        <v>1553</v>
      </c>
      <c r="I337" s="1744" t="s">
        <v>194</v>
      </c>
      <c r="J337" s="1905" t="s">
        <v>750</v>
      </c>
      <c r="K337" s="1905"/>
      <c r="L337" s="1743" t="s">
        <v>194</v>
      </c>
      <c r="M337" s="1905" t="s">
        <v>1552</v>
      </c>
      <c r="N337" s="1908"/>
      <c r="O337" s="1743" t="s">
        <v>194</v>
      </c>
      <c r="P337" s="1907" t="s">
        <v>1551</v>
      </c>
      <c r="Q337" s="1906"/>
      <c r="R337" s="1743" t="s">
        <v>194</v>
      </c>
      <c r="S337" s="1905" t="s">
        <v>1550</v>
      </c>
      <c r="T337" s="1906"/>
      <c r="U337" s="1743" t="s">
        <v>194</v>
      </c>
      <c r="V337" s="1905" t="s">
        <v>1549</v>
      </c>
      <c r="W337" s="1904"/>
      <c r="X337" s="1903"/>
      <c r="Y337" s="1902"/>
      <c r="Z337" s="1902"/>
      <c r="AA337" s="1902"/>
      <c r="AB337" s="1901"/>
      <c r="AC337" s="1953"/>
      <c r="AD337" s="1953"/>
      <c r="AE337" s="1953"/>
      <c r="AF337" s="1953"/>
      <c r="AI337" s="1735" t="str">
        <f>"23:shoguukaizen_code:"&amp;IF(I337="■",1,IF(L337="■",7,IF(O337="■",8,IF(R337="■",9,IF(U337="■","A",0)))))</f>
        <v>23:shoguukaizen_code:0</v>
      </c>
    </row>
    <row r="338" spans="1:36" s="1735" customFormat="1" ht="18.75" hidden="1" customHeight="1">
      <c r="A338" s="1807"/>
      <c r="B338" s="1806"/>
      <c r="C338" s="1849"/>
      <c r="D338" s="1848"/>
      <c r="E338" s="1804"/>
      <c r="F338" s="1803"/>
      <c r="G338" s="1804"/>
      <c r="H338" s="1885" t="s">
        <v>746</v>
      </c>
      <c r="I338" s="1873" t="s">
        <v>194</v>
      </c>
      <c r="J338" s="1872" t="s">
        <v>747</v>
      </c>
      <c r="K338" s="1932"/>
      <c r="L338" s="2007"/>
      <c r="M338" s="1931" t="s">
        <v>194</v>
      </c>
      <c r="N338" s="1872" t="s">
        <v>1572</v>
      </c>
      <c r="O338" s="1930"/>
      <c r="P338" s="1930"/>
      <c r="Q338" s="1931" t="s">
        <v>194</v>
      </c>
      <c r="R338" s="1872" t="s">
        <v>1571</v>
      </c>
      <c r="S338" s="1930"/>
      <c r="T338" s="1930"/>
      <c r="U338" s="1931" t="s">
        <v>194</v>
      </c>
      <c r="V338" s="1872" t="s">
        <v>1570</v>
      </c>
      <c r="W338" s="1930"/>
      <c r="X338" s="1886"/>
      <c r="Y338" s="1873" t="s">
        <v>194</v>
      </c>
      <c r="Z338" s="1872" t="s">
        <v>749</v>
      </c>
      <c r="AA338" s="1872"/>
      <c r="AB338" s="1929"/>
      <c r="AC338" s="1959"/>
      <c r="AD338" s="1959"/>
      <c r="AE338" s="1959"/>
      <c r="AF338" s="1959"/>
      <c r="AG338" s="1735" t="str">
        <f>"ser_code = '" &amp; IF(A349="■",23,"") &amp; "'"</f>
        <v>ser_code = ''</v>
      </c>
      <c r="AH338" s="1735" t="str">
        <f>"23:jininkbn_code:" &amp; IF(F349="■",2,IF(F350="■",3,0))</f>
        <v>23:jininkbn_code:0</v>
      </c>
      <c r="AI338" s="1735" t="str">
        <f>"23:yakan_kinmu_code:" &amp; IF(I338="■",1,IF(M338="■",2,IF(Q338="■",3,IF(U338="■",7,IF(I339="■",5,IF(M339="■",6,0))))))</f>
        <v>23:yakan_kinmu_code:0</v>
      </c>
      <c r="AJ338" s="1735" t="str">
        <f>"23:field203:" &amp; IF(Y338="■",1,IF(Y339="■",2,0))</f>
        <v>23:field203:0</v>
      </c>
    </row>
    <row r="339" spans="1:36" s="1735" customFormat="1" ht="18.75" hidden="1" customHeight="1">
      <c r="A339" s="1766"/>
      <c r="B339" s="1765"/>
      <c r="C339" s="1764"/>
      <c r="D339" s="1763"/>
      <c r="E339" s="1762"/>
      <c r="F339" s="1761"/>
      <c r="G339" s="1762"/>
      <c r="H339" s="1921"/>
      <c r="I339" s="1758" t="s">
        <v>194</v>
      </c>
      <c r="J339" s="1756" t="s">
        <v>1569</v>
      </c>
      <c r="K339" s="1755"/>
      <c r="L339" s="2006"/>
      <c r="M339" s="1757" t="s">
        <v>194</v>
      </c>
      <c r="N339" s="1756" t="s">
        <v>748</v>
      </c>
      <c r="O339" s="1780"/>
      <c r="P339" s="1780"/>
      <c r="Q339" s="1780"/>
      <c r="R339" s="1780"/>
      <c r="S339" s="1780"/>
      <c r="T339" s="1780"/>
      <c r="U339" s="1780"/>
      <c r="V339" s="1780"/>
      <c r="W339" s="1780"/>
      <c r="X339" s="1779"/>
      <c r="Y339" s="1878" t="s">
        <v>194</v>
      </c>
      <c r="Z339" s="1738" t="s">
        <v>754</v>
      </c>
      <c r="AA339" s="1913"/>
      <c r="AB339" s="1794"/>
      <c r="AC339" s="1970"/>
      <c r="AD339" s="1970"/>
      <c r="AE339" s="1970"/>
      <c r="AF339" s="1970"/>
      <c r="AG339" s="1735" t="str">
        <f>"23:sisetukbn_code:"&amp;IF(D349="■","A",IF(D350="■","C",0))</f>
        <v>23:sisetukbn_code:0</v>
      </c>
    </row>
    <row r="340" spans="1:36" s="1735" customFormat="1" ht="18.75" hidden="1" customHeight="1">
      <c r="A340" s="1766"/>
      <c r="B340" s="1765"/>
      <c r="C340" s="1764"/>
      <c r="D340" s="1763"/>
      <c r="E340" s="1762"/>
      <c r="F340" s="1761"/>
      <c r="G340" s="1762"/>
      <c r="H340" s="1769" t="s">
        <v>98</v>
      </c>
      <c r="I340" s="1773" t="s">
        <v>194</v>
      </c>
      <c r="J340" s="1754" t="s">
        <v>750</v>
      </c>
      <c r="K340" s="1754"/>
      <c r="L340" s="1791"/>
      <c r="M340" s="1772" t="s">
        <v>194</v>
      </c>
      <c r="N340" s="1754" t="s">
        <v>1568</v>
      </c>
      <c r="O340" s="1754"/>
      <c r="P340" s="1791"/>
      <c r="Q340" s="1772" t="s">
        <v>194</v>
      </c>
      <c r="R340" s="1771" t="s">
        <v>1615</v>
      </c>
      <c r="S340" s="1771"/>
      <c r="T340" s="1771"/>
      <c r="U340" s="1772" t="s">
        <v>194</v>
      </c>
      <c r="V340" s="1771" t="s">
        <v>1614</v>
      </c>
      <c r="W340" s="1768"/>
      <c r="X340" s="1767"/>
      <c r="Y340" s="1914"/>
      <c r="Z340" s="1913"/>
      <c r="AA340" s="1913"/>
      <c r="AB340" s="1794"/>
      <c r="AC340" s="1954"/>
      <c r="AD340" s="1954"/>
      <c r="AE340" s="1954"/>
      <c r="AF340" s="1954"/>
      <c r="AI340" s="1735" t="str">
        <f>"23:"&amp;IF(AND(I340="□",M340="□",Q340="□",U340="□"),"ketu_doctor_code:0",IF(I340="■","ketu_doctor_code:1:ketu_kangos_code:1:ketu_kshoku_code:1",
IF(M340="■","ketu_doctor_code:2","ketu_doctor_code:1")
&amp;IF(Q340="■",":ketu_kangos_code:2",":ketu_kangos_code:1")
&amp;IF(U340="■",":ketu_kshoku_code:2",":ketu_kshoku_code:1")))</f>
        <v>23:ketu_doctor_code:0</v>
      </c>
    </row>
    <row r="341" spans="1:36" s="1735" customFormat="1" ht="18.75" hidden="1" customHeight="1">
      <c r="A341" s="1766"/>
      <c r="B341" s="1765"/>
      <c r="C341" s="1764"/>
      <c r="D341" s="1763"/>
      <c r="E341" s="1762"/>
      <c r="F341" s="1761"/>
      <c r="G341" s="1762"/>
      <c r="H341" s="1769" t="s">
        <v>99</v>
      </c>
      <c r="I341" s="1773" t="s">
        <v>194</v>
      </c>
      <c r="J341" s="1754" t="s">
        <v>755</v>
      </c>
      <c r="K341" s="1789"/>
      <c r="L341" s="1791"/>
      <c r="M341" s="1772" t="s">
        <v>194</v>
      </c>
      <c r="N341" s="1754" t="s">
        <v>756</v>
      </c>
      <c r="O341" s="1768"/>
      <c r="P341" s="1768"/>
      <c r="Q341" s="1768"/>
      <c r="R341" s="1768"/>
      <c r="S341" s="1789"/>
      <c r="T341" s="1789"/>
      <c r="U341" s="1789"/>
      <c r="V341" s="1789"/>
      <c r="W341" s="1789"/>
      <c r="X341" s="1918"/>
      <c r="Y341" s="1914"/>
      <c r="Z341" s="1913"/>
      <c r="AA341" s="1913"/>
      <c r="AB341" s="1794"/>
      <c r="AC341" s="1954"/>
      <c r="AD341" s="1954"/>
      <c r="AE341" s="1954"/>
      <c r="AF341" s="1954"/>
      <c r="AI341" s="1735" t="str">
        <f>"23:unitcare_code:" &amp; IF(I341="■",1,IF(M341="■",2,0))</f>
        <v>23:unitcare_code:0</v>
      </c>
    </row>
    <row r="342" spans="1:36" s="1735" customFormat="1" ht="18.75" hidden="1" customHeight="1">
      <c r="A342" s="1766"/>
      <c r="B342" s="1765"/>
      <c r="C342" s="1916"/>
      <c r="D342" s="1915"/>
      <c r="E342" s="1762"/>
      <c r="F342" s="1761"/>
      <c r="G342" s="1793"/>
      <c r="H342" s="2002" t="s">
        <v>757</v>
      </c>
      <c r="I342" s="1842" t="s">
        <v>194</v>
      </c>
      <c r="J342" s="1837" t="s">
        <v>758</v>
      </c>
      <c r="K342" s="1841"/>
      <c r="L342" s="1840"/>
      <c r="M342" s="1839" t="s">
        <v>194</v>
      </c>
      <c r="N342" s="1837" t="s">
        <v>759</v>
      </c>
      <c r="O342" s="1841"/>
      <c r="P342" s="2001"/>
      <c r="Q342" s="2001"/>
      <c r="R342" s="2001"/>
      <c r="S342" s="2001"/>
      <c r="T342" s="2001"/>
      <c r="U342" s="2001"/>
      <c r="V342" s="2001"/>
      <c r="W342" s="2001"/>
      <c r="X342" s="2000"/>
      <c r="Y342" s="1914"/>
      <c r="Z342" s="1913"/>
      <c r="AA342" s="1913"/>
      <c r="AB342" s="1794"/>
      <c r="AC342" s="1954"/>
      <c r="AD342" s="1954"/>
      <c r="AE342" s="1954"/>
      <c r="AF342" s="1954"/>
      <c r="AI342" s="1735" t="str">
        <f>"23:sintaikousoku_code:" &amp; IF(I342="■",1,IF(M342="■",2,0))</f>
        <v>23:sintaikousoku_code:0</v>
      </c>
    </row>
    <row r="343" spans="1:36" s="1735" customFormat="1" ht="19.5" hidden="1" customHeight="1">
      <c r="A343" s="1766"/>
      <c r="B343" s="1765"/>
      <c r="C343" s="1764"/>
      <c r="D343" s="1763"/>
      <c r="E343" s="1762"/>
      <c r="F343" s="1761"/>
      <c r="G343" s="1793"/>
      <c r="H343" s="1792" t="s">
        <v>760</v>
      </c>
      <c r="I343" s="1773" t="s">
        <v>194</v>
      </c>
      <c r="J343" s="1754" t="s">
        <v>758</v>
      </c>
      <c r="K343" s="1789"/>
      <c r="L343" s="1791"/>
      <c r="M343" s="1772" t="s">
        <v>194</v>
      </c>
      <c r="N343" s="1754" t="s">
        <v>761</v>
      </c>
      <c r="O343" s="1920"/>
      <c r="P343" s="1754"/>
      <c r="Q343" s="1768"/>
      <c r="R343" s="1768"/>
      <c r="S343" s="1768"/>
      <c r="T343" s="1768"/>
      <c r="U343" s="1768"/>
      <c r="V343" s="1768"/>
      <c r="W343" s="1768"/>
      <c r="X343" s="1767"/>
      <c r="Y343" s="1913"/>
      <c r="Z343" s="1913"/>
      <c r="AA343" s="1913"/>
      <c r="AB343" s="1794"/>
      <c r="AC343" s="1954"/>
      <c r="AD343" s="1954"/>
      <c r="AE343" s="1954"/>
      <c r="AF343" s="1954"/>
      <c r="AI343" s="1735" t="str">
        <f>"23:field223:" &amp; IF(I343="■",1,IF(M343="■",2,0))</f>
        <v>23:field223:0</v>
      </c>
    </row>
    <row r="344" spans="1:36" s="1735" customFormat="1" ht="19.5" hidden="1" customHeight="1">
      <c r="A344" s="1766"/>
      <c r="B344" s="1765"/>
      <c r="C344" s="1764"/>
      <c r="D344" s="1763"/>
      <c r="E344" s="1762"/>
      <c r="F344" s="1761"/>
      <c r="G344" s="1793"/>
      <c r="H344" s="1792" t="s">
        <v>762</v>
      </c>
      <c r="I344" s="1773" t="s">
        <v>194</v>
      </c>
      <c r="J344" s="1754" t="s">
        <v>758</v>
      </c>
      <c r="K344" s="1789"/>
      <c r="L344" s="1791"/>
      <c r="M344" s="1772" t="s">
        <v>194</v>
      </c>
      <c r="N344" s="1754" t="s">
        <v>761</v>
      </c>
      <c r="O344" s="1920"/>
      <c r="P344" s="1754"/>
      <c r="Q344" s="1768"/>
      <c r="R344" s="1768"/>
      <c r="S344" s="1768"/>
      <c r="T344" s="1768"/>
      <c r="U344" s="1768"/>
      <c r="V344" s="1768"/>
      <c r="W344" s="1768"/>
      <c r="X344" s="1767"/>
      <c r="Y344" s="1913"/>
      <c r="Z344" s="1913"/>
      <c r="AA344" s="1913"/>
      <c r="AB344" s="1794"/>
      <c r="AC344" s="1954"/>
      <c r="AD344" s="1954"/>
      <c r="AE344" s="1954"/>
      <c r="AF344" s="1954"/>
      <c r="AI344" s="1735" t="str">
        <f>"23:field232:" &amp; IF(I344="■",1,IF(M344="■",2,0))</f>
        <v>23:field232:0</v>
      </c>
    </row>
    <row r="345" spans="1:36" s="1735" customFormat="1" ht="18.75" hidden="1" customHeight="1">
      <c r="A345" s="1766"/>
      <c r="B345" s="1765"/>
      <c r="C345" s="1764"/>
      <c r="D345" s="1763"/>
      <c r="E345" s="1762"/>
      <c r="F345" s="1761"/>
      <c r="G345" s="1762"/>
      <c r="H345" s="1769" t="s">
        <v>1704</v>
      </c>
      <c r="I345" s="1773" t="s">
        <v>194</v>
      </c>
      <c r="J345" s="1754" t="s">
        <v>747</v>
      </c>
      <c r="K345" s="1789"/>
      <c r="L345" s="1791"/>
      <c r="M345" s="1772" t="s">
        <v>194</v>
      </c>
      <c r="N345" s="1754" t="s">
        <v>1556</v>
      </c>
      <c r="O345" s="1771"/>
      <c r="P345" s="1771"/>
      <c r="Q345" s="1771"/>
      <c r="R345" s="1771"/>
      <c r="S345" s="1789"/>
      <c r="T345" s="1789"/>
      <c r="U345" s="1789"/>
      <c r="V345" s="1789"/>
      <c r="W345" s="1789"/>
      <c r="X345" s="1918"/>
      <c r="Y345" s="1914"/>
      <c r="Z345" s="1913"/>
      <c r="AA345" s="1913"/>
      <c r="AB345" s="1794"/>
      <c r="AC345" s="1954"/>
      <c r="AD345" s="1954"/>
      <c r="AE345" s="1954"/>
      <c r="AF345" s="1954"/>
      <c r="AI345" s="1735" t="str">
        <f>"23:ryokan_code:" &amp; IF(I345="■",1,IF(M345="■",2,0))</f>
        <v>23:ryokan_code:0</v>
      </c>
    </row>
    <row r="346" spans="1:36" s="1735" customFormat="1" ht="18.75" hidden="1" customHeight="1">
      <c r="A346" s="1766"/>
      <c r="B346" s="1765"/>
      <c r="C346" s="1764"/>
      <c r="D346" s="1763"/>
      <c r="E346" s="1762"/>
      <c r="F346" s="1761"/>
      <c r="G346" s="1762"/>
      <c r="H346" s="1769" t="s">
        <v>1703</v>
      </c>
      <c r="I346" s="1773" t="s">
        <v>194</v>
      </c>
      <c r="J346" s="1754" t="s">
        <v>1702</v>
      </c>
      <c r="K346" s="1789"/>
      <c r="L346" s="1791"/>
      <c r="M346" s="1772" t="s">
        <v>194</v>
      </c>
      <c r="N346" s="1754" t="s">
        <v>1701</v>
      </c>
      <c r="O346" s="1768"/>
      <c r="P346" s="1768"/>
      <c r="Q346" s="1768"/>
      <c r="R346" s="1771"/>
      <c r="S346" s="1789"/>
      <c r="T346" s="1789"/>
      <c r="U346" s="1789"/>
      <c r="V346" s="1789"/>
      <c r="W346" s="1789"/>
      <c r="X346" s="1918"/>
      <c r="Y346" s="1914"/>
      <c r="Z346" s="1913"/>
      <c r="AA346" s="1913"/>
      <c r="AB346" s="1794"/>
      <c r="AC346" s="1954"/>
      <c r="AD346" s="1954"/>
      <c r="AE346" s="1954"/>
      <c r="AF346" s="1954"/>
      <c r="AI346" s="1735" t="str">
        <f>"23:doctor_haiti_code:" &amp; IF(I346="■",1,IF(M346="■",2,0))</f>
        <v>23:doctor_haiti_code:0</v>
      </c>
    </row>
    <row r="347" spans="1:36" s="1735" customFormat="1" ht="18.75" hidden="1" customHeight="1">
      <c r="A347" s="1766"/>
      <c r="B347" s="1765"/>
      <c r="C347" s="1764"/>
      <c r="D347" s="1763"/>
      <c r="E347" s="1762"/>
      <c r="F347" s="1761"/>
      <c r="G347" s="1762"/>
      <c r="H347" s="1769" t="s">
        <v>1498</v>
      </c>
      <c r="I347" s="1773" t="s">
        <v>194</v>
      </c>
      <c r="J347" s="1754" t="s">
        <v>750</v>
      </c>
      <c r="K347" s="1789"/>
      <c r="L347" s="1772" t="s">
        <v>194</v>
      </c>
      <c r="M347" s="1754" t="s">
        <v>764</v>
      </c>
      <c r="N347" s="1768"/>
      <c r="O347" s="1768"/>
      <c r="P347" s="1768"/>
      <c r="Q347" s="1768"/>
      <c r="R347" s="1768"/>
      <c r="S347" s="1789"/>
      <c r="T347" s="1789"/>
      <c r="U347" s="1789"/>
      <c r="V347" s="1789"/>
      <c r="W347" s="1789"/>
      <c r="X347" s="1918"/>
      <c r="Y347" s="1914"/>
      <c r="Z347" s="1913"/>
      <c r="AA347" s="1913"/>
      <c r="AB347" s="1794"/>
      <c r="AC347" s="1954"/>
      <c r="AD347" s="1954"/>
      <c r="AE347" s="1954"/>
      <c r="AF347" s="1954"/>
      <c r="AI347" s="1735" t="str">
        <f>"23:jyakuninti_uke_code:" &amp; IF(I347="■",1,IF(L347="■",2,0))</f>
        <v>23:jyakuninti_uke_code:0</v>
      </c>
    </row>
    <row r="348" spans="1:36" s="1735" customFormat="1" ht="18.75" hidden="1" customHeight="1">
      <c r="A348" s="1766"/>
      <c r="B348" s="1765"/>
      <c r="C348" s="1764"/>
      <c r="D348" s="1763"/>
      <c r="E348" s="1762"/>
      <c r="F348" s="1761"/>
      <c r="G348" s="1762"/>
      <c r="H348" s="1769" t="s">
        <v>1666</v>
      </c>
      <c r="I348" s="1773" t="s">
        <v>194</v>
      </c>
      <c r="J348" s="1754" t="s">
        <v>755</v>
      </c>
      <c r="K348" s="1789"/>
      <c r="L348" s="1791"/>
      <c r="M348" s="1772" t="s">
        <v>194</v>
      </c>
      <c r="N348" s="1754" t="s">
        <v>756</v>
      </c>
      <c r="O348" s="1768"/>
      <c r="P348" s="1768"/>
      <c r="Q348" s="1768"/>
      <c r="R348" s="1768"/>
      <c r="S348" s="1789"/>
      <c r="T348" s="1789"/>
      <c r="U348" s="1789"/>
      <c r="V348" s="1789"/>
      <c r="W348" s="1789"/>
      <c r="X348" s="1918"/>
      <c r="Y348" s="1914"/>
      <c r="Z348" s="1913"/>
      <c r="AA348" s="1913"/>
      <c r="AB348" s="1794"/>
      <c r="AC348" s="1954"/>
      <c r="AD348" s="1954"/>
      <c r="AE348" s="1954"/>
      <c r="AF348" s="1954"/>
      <c r="AI348" s="1735" t="str">
        <f>"23:sougei_code:" &amp; IF(I348="■",1,IF(M348="■",2,0))</f>
        <v>23:sougei_code:0</v>
      </c>
    </row>
    <row r="349" spans="1:36" s="1735" customFormat="1" ht="19.5" hidden="1" customHeight="1">
      <c r="A349" s="1776" t="s">
        <v>194</v>
      </c>
      <c r="B349" s="1765">
        <v>23</v>
      </c>
      <c r="C349" s="1764" t="s">
        <v>1668</v>
      </c>
      <c r="D349" s="1878" t="s">
        <v>194</v>
      </c>
      <c r="E349" s="1762" t="s">
        <v>1700</v>
      </c>
      <c r="F349" s="1878" t="s">
        <v>194</v>
      </c>
      <c r="G349" s="1762" t="s">
        <v>1699</v>
      </c>
      <c r="H349" s="1792" t="s">
        <v>1516</v>
      </c>
      <c r="I349" s="1773" t="s">
        <v>194</v>
      </c>
      <c r="J349" s="1754" t="s">
        <v>750</v>
      </c>
      <c r="K349" s="1754"/>
      <c r="L349" s="1772" t="s">
        <v>194</v>
      </c>
      <c r="M349" s="1754" t="s">
        <v>764</v>
      </c>
      <c r="N349" s="1754"/>
      <c r="O349" s="1768"/>
      <c r="P349" s="1754"/>
      <c r="Q349" s="1768"/>
      <c r="R349" s="1768"/>
      <c r="S349" s="1768"/>
      <c r="T349" s="1768"/>
      <c r="U349" s="1768"/>
      <c r="V349" s="1768"/>
      <c r="W349" s="1768"/>
      <c r="X349" s="1767"/>
      <c r="Y349" s="1913"/>
      <c r="Z349" s="1913"/>
      <c r="AA349" s="1913"/>
      <c r="AB349" s="1794"/>
      <c r="AC349" s="1954"/>
      <c r="AD349" s="1954"/>
      <c r="AE349" s="1954"/>
      <c r="AF349" s="1954"/>
      <c r="AI349" s="1735" t="str">
        <f>"23:field224:" &amp; IF(I349="■",1,IF(L349="■",2,0))</f>
        <v>23:field224:0</v>
      </c>
    </row>
    <row r="350" spans="1:36" s="1735" customFormat="1" ht="18.75" hidden="1" customHeight="1">
      <c r="A350" s="1766"/>
      <c r="B350" s="1765"/>
      <c r="C350" s="1764"/>
      <c r="D350" s="1878" t="s">
        <v>194</v>
      </c>
      <c r="E350" s="1762" t="s">
        <v>1698</v>
      </c>
      <c r="F350" s="1878" t="s">
        <v>194</v>
      </c>
      <c r="G350" s="1762" t="s">
        <v>1697</v>
      </c>
      <c r="H350" s="1769" t="s">
        <v>787</v>
      </c>
      <c r="I350" s="1773" t="s">
        <v>194</v>
      </c>
      <c r="J350" s="1754" t="s">
        <v>750</v>
      </c>
      <c r="K350" s="1789"/>
      <c r="L350" s="1772" t="s">
        <v>194</v>
      </c>
      <c r="M350" s="1754" t="s">
        <v>764</v>
      </c>
      <c r="N350" s="1768"/>
      <c r="O350" s="1768"/>
      <c r="P350" s="1768"/>
      <c r="Q350" s="1768"/>
      <c r="R350" s="1768"/>
      <c r="S350" s="1789"/>
      <c r="T350" s="1789"/>
      <c r="U350" s="1789"/>
      <c r="V350" s="1789"/>
      <c r="W350" s="1789"/>
      <c r="X350" s="1918"/>
      <c r="Y350" s="1914"/>
      <c r="Z350" s="1913"/>
      <c r="AA350" s="1913"/>
      <c r="AB350" s="1794"/>
      <c r="AC350" s="1954"/>
      <c r="AD350" s="1954"/>
      <c r="AE350" s="1954"/>
      <c r="AF350" s="1954"/>
      <c r="AI350" s="1735" t="str">
        <f>"23:ryouyoushoku_code:" &amp; IF(I350="■",1,IF(L350="■",2,0))</f>
        <v>23:ryouyoushoku_code:0</v>
      </c>
    </row>
    <row r="351" spans="1:36" s="1735" customFormat="1" ht="18.75" hidden="1" customHeight="1">
      <c r="A351" s="1766"/>
      <c r="B351" s="1765"/>
      <c r="C351" s="1764"/>
      <c r="D351" s="1763"/>
      <c r="E351" s="1762"/>
      <c r="F351" s="1763"/>
      <c r="G351" s="1762"/>
      <c r="H351" s="1769" t="s">
        <v>1681</v>
      </c>
      <c r="I351" s="1773" t="s">
        <v>194</v>
      </c>
      <c r="J351" s="1754" t="s">
        <v>750</v>
      </c>
      <c r="K351" s="1754"/>
      <c r="L351" s="1772" t="s">
        <v>194</v>
      </c>
      <c r="M351" s="1754" t="s">
        <v>784</v>
      </c>
      <c r="N351" s="1754"/>
      <c r="O351" s="1772" t="s">
        <v>194</v>
      </c>
      <c r="P351" s="1754" t="s">
        <v>785</v>
      </c>
      <c r="Q351" s="1768"/>
      <c r="R351" s="1768"/>
      <c r="S351" s="1768"/>
      <c r="T351" s="1768"/>
      <c r="U351" s="1768"/>
      <c r="V351" s="1768"/>
      <c r="W351" s="1768"/>
      <c r="X351" s="1767"/>
      <c r="Y351" s="1914"/>
      <c r="Z351" s="1913"/>
      <c r="AA351" s="1913"/>
      <c r="AB351" s="1794"/>
      <c r="AC351" s="1954"/>
      <c r="AD351" s="1954"/>
      <c r="AE351" s="1954"/>
      <c r="AF351" s="1954"/>
      <c r="AI351" s="1735" t="str">
        <f>"23:ninti_senmoncare_code:" &amp; IF(I351="■",1,IF(O351="■",3,IF(L351="■",2,0)))</f>
        <v>23:ninti_senmoncare_code:0</v>
      </c>
    </row>
    <row r="352" spans="1:36" s="1735" customFormat="1" ht="18.75" hidden="1" customHeight="1">
      <c r="A352" s="1766"/>
      <c r="B352" s="1765"/>
      <c r="C352" s="1764"/>
      <c r="D352" s="1763"/>
      <c r="E352" s="1762"/>
      <c r="F352" s="1761"/>
      <c r="G352" s="1762"/>
      <c r="H352" s="1917" t="s">
        <v>794</v>
      </c>
      <c r="I352" s="1773" t="s">
        <v>194</v>
      </c>
      <c r="J352" s="1754" t="s">
        <v>750</v>
      </c>
      <c r="K352" s="1754"/>
      <c r="L352" s="1772" t="s">
        <v>194</v>
      </c>
      <c r="M352" s="1754" t="s">
        <v>784</v>
      </c>
      <c r="N352" s="1754"/>
      <c r="O352" s="1772" t="s">
        <v>194</v>
      </c>
      <c r="P352" s="1754" t="s">
        <v>785</v>
      </c>
      <c r="Q352" s="1768"/>
      <c r="R352" s="1768"/>
      <c r="S352" s="1768"/>
      <c r="T352" s="1768"/>
      <c r="U352" s="1829"/>
      <c r="V352" s="1829"/>
      <c r="W352" s="1829"/>
      <c r="X352" s="1828"/>
      <c r="Y352" s="1914"/>
      <c r="Z352" s="1913"/>
      <c r="AA352" s="1913"/>
      <c r="AB352" s="1794"/>
      <c r="AC352" s="1954"/>
      <c r="AD352" s="1954"/>
      <c r="AE352" s="1954"/>
      <c r="AF352" s="1954"/>
      <c r="AI352" s="1735" t="str">
        <f>"23:field225:" &amp; IF(I352="■",1,IF(L352="■",2,IF(O352="■",3,0)))</f>
        <v>23:field225:0</v>
      </c>
    </row>
    <row r="353" spans="1:36" s="1735" customFormat="1" ht="18.75" hidden="1" customHeight="1">
      <c r="A353" s="1766"/>
      <c r="B353" s="1765"/>
      <c r="C353" s="1764"/>
      <c r="D353" s="1763"/>
      <c r="E353" s="1762"/>
      <c r="F353" s="1761"/>
      <c r="G353" s="1762"/>
      <c r="H353" s="1925" t="s">
        <v>1690</v>
      </c>
      <c r="I353" s="1924" t="s">
        <v>194</v>
      </c>
      <c r="J353" s="1923" t="s">
        <v>1589</v>
      </c>
      <c r="K353" s="1923"/>
      <c r="L353" s="1829"/>
      <c r="M353" s="1829"/>
      <c r="N353" s="1829"/>
      <c r="O353" s="1829"/>
      <c r="P353" s="1922" t="s">
        <v>194</v>
      </c>
      <c r="Q353" s="1923" t="s">
        <v>1588</v>
      </c>
      <c r="R353" s="1829"/>
      <c r="S353" s="1829"/>
      <c r="T353" s="1829"/>
      <c r="U353" s="1829"/>
      <c r="V353" s="1829"/>
      <c r="W353" s="1829"/>
      <c r="X353" s="1828"/>
      <c r="Y353" s="1914"/>
      <c r="Z353" s="1913"/>
      <c r="AA353" s="1913"/>
      <c r="AB353" s="1794"/>
      <c r="AC353" s="1954"/>
      <c r="AD353" s="1954"/>
      <c r="AE353" s="1954"/>
      <c r="AF353" s="1954"/>
      <c r="AI353" s="1735" t="str">
        <f>"23:" &amp; IF(AND(I353="□",P353="□",I354="□"),"tokusin_jyusho_code:0:tokusin_yakuzai_code:0:shuudan_comu_code:0",IF(I353="■","tokusin_jyusho_code:2","tokusin_jyusho_code:1")
&amp;IF(P353="■",":tokusin_yakuzai_code:2",":tokusin_yakuzai_code:1")
&amp;IF(I354="■",":shuudan_comu_code:2",":shuudan_comu_code:1"))</f>
        <v>23:tokusin_jyusho_code:0:tokusin_yakuzai_code:0:shuudan_comu_code:0</v>
      </c>
    </row>
    <row r="354" spans="1:36" s="1735" customFormat="1" ht="18.75" hidden="1" customHeight="1">
      <c r="A354" s="1766"/>
      <c r="B354" s="1765"/>
      <c r="C354" s="1764"/>
      <c r="D354" s="1763"/>
      <c r="E354" s="1762"/>
      <c r="F354" s="1761"/>
      <c r="G354" s="1762"/>
      <c r="H354" s="1921"/>
      <c r="I354" s="1758" t="s">
        <v>194</v>
      </c>
      <c r="J354" s="1756" t="s">
        <v>1585</v>
      </c>
      <c r="K354" s="1827"/>
      <c r="L354" s="1827"/>
      <c r="M354" s="1827"/>
      <c r="N354" s="1827"/>
      <c r="O354" s="1827"/>
      <c r="P354" s="1827"/>
      <c r="Q354" s="1780"/>
      <c r="R354" s="1827"/>
      <c r="S354" s="1827"/>
      <c r="T354" s="1827"/>
      <c r="U354" s="1827"/>
      <c r="V354" s="1827"/>
      <c r="W354" s="1827"/>
      <c r="X354" s="1826"/>
      <c r="Y354" s="1914"/>
      <c r="Z354" s="1913"/>
      <c r="AA354" s="1913"/>
      <c r="AB354" s="1794"/>
      <c r="AC354" s="1954"/>
      <c r="AD354" s="1954"/>
      <c r="AE354" s="1954"/>
      <c r="AF354" s="1954"/>
    </row>
    <row r="355" spans="1:36" s="1735" customFormat="1" ht="18.75" hidden="1" customHeight="1">
      <c r="A355" s="1766"/>
      <c r="B355" s="1765"/>
      <c r="C355" s="1764"/>
      <c r="D355" s="1763"/>
      <c r="E355" s="1762"/>
      <c r="F355" s="1761"/>
      <c r="G355" s="1762"/>
      <c r="H355" s="1925" t="s">
        <v>1584</v>
      </c>
      <c r="I355" s="1924" t="s">
        <v>194</v>
      </c>
      <c r="J355" s="1923" t="s">
        <v>1583</v>
      </c>
      <c r="K355" s="1938"/>
      <c r="L355" s="1937"/>
      <c r="M355" s="1922" t="s">
        <v>194</v>
      </c>
      <c r="N355" s="1923" t="s">
        <v>1582</v>
      </c>
      <c r="O355" s="1829"/>
      <c r="P355" s="1829"/>
      <c r="Q355" s="1922" t="s">
        <v>194</v>
      </c>
      <c r="R355" s="1923" t="s">
        <v>1581</v>
      </c>
      <c r="S355" s="1829"/>
      <c r="T355" s="1829"/>
      <c r="U355" s="1829"/>
      <c r="V355" s="1829"/>
      <c r="W355" s="1829"/>
      <c r="X355" s="1828"/>
      <c r="Y355" s="1914"/>
      <c r="Z355" s="1913"/>
      <c r="AA355" s="1913"/>
      <c r="AB355" s="1794"/>
      <c r="AC355" s="1954"/>
      <c r="AD355" s="1954"/>
      <c r="AE355" s="1954"/>
      <c r="AF355" s="1954"/>
      <c r="AI355" s="1735" t="str">
        <f>"23:"&amp;IF(AND(I355="□",M355="□",Q355="□",I356="□",Q356="□"),"koriha_rryoho1_code:0:koriha_sryoho_code:0:koriha_gengo_code:0:riha_seisin_code:0:koriha_other_code:0",IF(I355="■","koriha_rryoho1_code:2","koriha_rryoho1_code:1")
&amp;IF(M355="■",":koriha_sryoho_code:2",":koriha_sryoho_code:1")
&amp;IF(Q355="■",":koriha_gengo_code:2",":koriha_gengo_code:1")
&amp;IF(I356="■",":riha_seisin_code:2",":riha_seisin_code:1")
&amp;IF(Q356="■",":koriha_other_code:2",":koriha_other_code:1"))</f>
        <v>23:koriha_rryoho1_code:0:koriha_sryoho_code:0:koriha_gengo_code:0:riha_seisin_code:0:koriha_other_code:0</v>
      </c>
    </row>
    <row r="356" spans="1:36" s="1735" customFormat="1" ht="18.75" hidden="1" customHeight="1">
      <c r="A356" s="1766"/>
      <c r="B356" s="1765"/>
      <c r="C356" s="1764"/>
      <c r="D356" s="1763"/>
      <c r="E356" s="1762"/>
      <c r="F356" s="1761"/>
      <c r="G356" s="1762"/>
      <c r="H356" s="1921"/>
      <c r="I356" s="1758" t="s">
        <v>194</v>
      </c>
      <c r="J356" s="1756" t="s">
        <v>1580</v>
      </c>
      <c r="K356" s="1827"/>
      <c r="L356" s="1827"/>
      <c r="M356" s="1827"/>
      <c r="N356" s="1827"/>
      <c r="O356" s="1827"/>
      <c r="P356" s="1827"/>
      <c r="Q356" s="1757" t="s">
        <v>194</v>
      </c>
      <c r="R356" s="1756" t="s">
        <v>1579</v>
      </c>
      <c r="S356" s="1780"/>
      <c r="T356" s="1827"/>
      <c r="U356" s="1827"/>
      <c r="V356" s="1827"/>
      <c r="W356" s="1827"/>
      <c r="X356" s="1826"/>
      <c r="Y356" s="1914"/>
      <c r="Z356" s="1913"/>
      <c r="AA356" s="1913"/>
      <c r="AB356" s="1794"/>
      <c r="AC356" s="1954"/>
      <c r="AD356" s="1954"/>
      <c r="AE356" s="1954"/>
      <c r="AF356" s="1954"/>
    </row>
    <row r="357" spans="1:36" s="1735" customFormat="1" ht="18.75" hidden="1" customHeight="1">
      <c r="A357" s="1766"/>
      <c r="B357" s="1765"/>
      <c r="C357" s="1764"/>
      <c r="D357" s="1763"/>
      <c r="E357" s="1762"/>
      <c r="F357" s="1761"/>
      <c r="G357" s="1762"/>
      <c r="H357" s="1777" t="s">
        <v>795</v>
      </c>
      <c r="I357" s="1773" t="s">
        <v>194</v>
      </c>
      <c r="J357" s="1754" t="s">
        <v>750</v>
      </c>
      <c r="K357" s="1754"/>
      <c r="L357" s="1772" t="s">
        <v>194</v>
      </c>
      <c r="M357" s="1754" t="s">
        <v>796</v>
      </c>
      <c r="N357" s="1754"/>
      <c r="O357" s="1772" t="s">
        <v>194</v>
      </c>
      <c r="P357" s="1754" t="s">
        <v>797</v>
      </c>
      <c r="Q357" s="1771"/>
      <c r="R357" s="1772" t="s">
        <v>194</v>
      </c>
      <c r="S357" s="1754" t="s">
        <v>798</v>
      </c>
      <c r="T357" s="1771"/>
      <c r="U357" s="1771"/>
      <c r="V357" s="1771"/>
      <c r="W357" s="1771"/>
      <c r="X357" s="1770"/>
      <c r="Y357" s="1914"/>
      <c r="Z357" s="1913"/>
      <c r="AA357" s="1913"/>
      <c r="AB357" s="1794"/>
      <c r="AC357" s="1954"/>
      <c r="AD357" s="1954"/>
      <c r="AE357" s="1954"/>
      <c r="AF357" s="1954"/>
      <c r="AI357" s="1735" t="str">
        <f>"23:serteikyo_kyoka_code:" &amp; IF(I357="■",1,IF(L357="■",6,IF(O357="■",5,IF(R357="■",7,0))))</f>
        <v>23:serteikyo_kyoka_code:0</v>
      </c>
    </row>
    <row r="358" spans="1:36" s="1735" customFormat="1" ht="18.75" hidden="1" customHeight="1">
      <c r="A358" s="1766"/>
      <c r="B358" s="1765"/>
      <c r="C358" s="1764"/>
      <c r="D358" s="1763"/>
      <c r="E358" s="1762"/>
      <c r="F358" s="1761"/>
      <c r="G358" s="1762"/>
      <c r="H358" s="1788" t="s">
        <v>1665</v>
      </c>
      <c r="I358" s="1969" t="s">
        <v>194</v>
      </c>
      <c r="J358" s="1968" t="s">
        <v>750</v>
      </c>
      <c r="K358" s="1968"/>
      <c r="L358" s="1967" t="s">
        <v>194</v>
      </c>
      <c r="M358" s="1968" t="s">
        <v>764</v>
      </c>
      <c r="N358" s="1968"/>
      <c r="O358" s="1923"/>
      <c r="P358" s="1923"/>
      <c r="Q358" s="1923"/>
      <c r="R358" s="1923"/>
      <c r="S358" s="1923"/>
      <c r="T358" s="1923"/>
      <c r="U358" s="1923"/>
      <c r="V358" s="1923"/>
      <c r="W358" s="1923"/>
      <c r="X358" s="1956"/>
      <c r="Y358" s="1914"/>
      <c r="Z358" s="1913"/>
      <c r="AA358" s="1913"/>
      <c r="AB358" s="1794"/>
      <c r="AC358" s="1954"/>
      <c r="AD358" s="1954"/>
      <c r="AE358" s="1954"/>
      <c r="AF358" s="1954"/>
      <c r="AI358" s="1735" t="str">
        <f>"23:field221:" &amp; IF(I358="■",1,IF(L358="■",2,0))</f>
        <v>23:field221:0</v>
      </c>
    </row>
    <row r="359" spans="1:36" s="1735" customFormat="1" ht="18.75" hidden="1" customHeight="1">
      <c r="A359" s="1766"/>
      <c r="B359" s="1765"/>
      <c r="C359" s="1764"/>
      <c r="D359" s="1763"/>
      <c r="E359" s="1762"/>
      <c r="F359" s="1761"/>
      <c r="G359" s="1762"/>
      <c r="H359" s="1783"/>
      <c r="I359" s="1969"/>
      <c r="J359" s="1968"/>
      <c r="K359" s="1968"/>
      <c r="L359" s="1967"/>
      <c r="M359" s="1968"/>
      <c r="N359" s="1968"/>
      <c r="O359" s="1756"/>
      <c r="P359" s="1756"/>
      <c r="Q359" s="1756"/>
      <c r="R359" s="1756"/>
      <c r="S359" s="1756"/>
      <c r="T359" s="1756"/>
      <c r="U359" s="1756"/>
      <c r="V359" s="1756"/>
      <c r="W359" s="1756"/>
      <c r="X359" s="1814"/>
      <c r="Y359" s="1914"/>
      <c r="Z359" s="1913"/>
      <c r="AA359" s="1913"/>
      <c r="AB359" s="1794"/>
      <c r="AC359" s="1954"/>
      <c r="AD359" s="1954"/>
      <c r="AE359" s="1954"/>
      <c r="AF359" s="1954"/>
    </row>
    <row r="360" spans="1:36" s="1735" customFormat="1" ht="18.75" hidden="1" customHeight="1">
      <c r="A360" s="1752"/>
      <c r="B360" s="1751"/>
      <c r="C360" s="1750"/>
      <c r="D360" s="1749"/>
      <c r="E360" s="1748"/>
      <c r="F360" s="1747"/>
      <c r="G360" s="1808"/>
      <c r="H360" s="1909" t="s">
        <v>1553</v>
      </c>
      <c r="I360" s="1744" t="s">
        <v>194</v>
      </c>
      <c r="J360" s="1905" t="s">
        <v>750</v>
      </c>
      <c r="K360" s="1905"/>
      <c r="L360" s="1743" t="s">
        <v>194</v>
      </c>
      <c r="M360" s="1905" t="s">
        <v>1552</v>
      </c>
      <c r="N360" s="1908"/>
      <c r="O360" s="1743" t="s">
        <v>194</v>
      </c>
      <c r="P360" s="1905" t="s">
        <v>1551</v>
      </c>
      <c r="Q360" s="1906"/>
      <c r="R360" s="1743" t="s">
        <v>194</v>
      </c>
      <c r="S360" s="1905" t="s">
        <v>1550</v>
      </c>
      <c r="T360" s="1906"/>
      <c r="U360" s="1743" t="s">
        <v>194</v>
      </c>
      <c r="V360" s="1905" t="s">
        <v>1549</v>
      </c>
      <c r="W360" s="1904"/>
      <c r="X360" s="1903"/>
      <c r="Y360" s="1902"/>
      <c r="Z360" s="1902"/>
      <c r="AA360" s="1902"/>
      <c r="AB360" s="1901"/>
      <c r="AC360" s="1953"/>
      <c r="AD360" s="1953"/>
      <c r="AE360" s="1953"/>
      <c r="AF360" s="1953"/>
      <c r="AI360" s="1735" t="str">
        <f>"23:shoguukaizen_code:"&amp;IF(I360="■",1,IF(L360="■",7,IF(O360="■",8,IF(R360="■",9,IF(U360="■","A",0)))))</f>
        <v>23:shoguukaizen_code:0</v>
      </c>
    </row>
    <row r="361" spans="1:36" s="1735" customFormat="1" ht="18.75" hidden="1" customHeight="1">
      <c r="A361" s="1807"/>
      <c r="B361" s="1806"/>
      <c r="C361" s="1934"/>
      <c r="D361" s="1933"/>
      <c r="E361" s="1804"/>
      <c r="F361" s="1803"/>
      <c r="G361" s="1802"/>
      <c r="H361" s="2027" t="s">
        <v>757</v>
      </c>
      <c r="I361" s="2026" t="s">
        <v>194</v>
      </c>
      <c r="J361" s="2023" t="s">
        <v>758</v>
      </c>
      <c r="K361" s="2022"/>
      <c r="L361" s="2025"/>
      <c r="M361" s="2024" t="s">
        <v>194</v>
      </c>
      <c r="N361" s="2023" t="s">
        <v>759</v>
      </c>
      <c r="O361" s="2022"/>
      <c r="P361" s="2021"/>
      <c r="Q361" s="2021"/>
      <c r="R361" s="2021"/>
      <c r="S361" s="2021"/>
      <c r="T361" s="2021"/>
      <c r="U361" s="2021"/>
      <c r="V361" s="2021"/>
      <c r="W361" s="2021"/>
      <c r="X361" s="2020"/>
      <c r="Y361" s="1931" t="s">
        <v>194</v>
      </c>
      <c r="Z361" s="1872" t="s">
        <v>749</v>
      </c>
      <c r="AA361" s="2019"/>
      <c r="AB361" s="1929"/>
      <c r="AC361" s="1928"/>
      <c r="AD361" s="2018"/>
      <c r="AE361" s="2018"/>
      <c r="AF361" s="2017"/>
      <c r="AG361" s="1735" t="str">
        <f>"ser_code = '" &amp; IF(A370="■",23,"") &amp; "'"</f>
        <v>ser_code = ''</v>
      </c>
      <c r="AH361" s="1735" t="str">
        <f>"23:jininkbn_code:"&amp;IF(F367="■",1,IF(F369="■",3,IF(F371="■",4,IF(F373="■",2,0))))</f>
        <v>23:jininkbn_code:0</v>
      </c>
      <c r="AI361" s="1735" t="str">
        <f>"23:sintaikousoku_code:" &amp; IF(I361="■",1,IF(M361="■",2,0))</f>
        <v>23:sintaikousoku_code:0</v>
      </c>
      <c r="AJ361" s="1735" t="str">
        <f>"23:field203:" &amp; IF(Y361="■",1,IF(Y362="■",2,0))</f>
        <v>23:field203:0</v>
      </c>
    </row>
    <row r="362" spans="1:36" s="1735" customFormat="1" ht="19.5" hidden="1" customHeight="1">
      <c r="A362" s="1766"/>
      <c r="B362" s="1765"/>
      <c r="C362" s="1764"/>
      <c r="D362" s="1763"/>
      <c r="E362" s="1762"/>
      <c r="F362" s="1761"/>
      <c r="G362" s="1793"/>
      <c r="H362" s="2016" t="s">
        <v>760</v>
      </c>
      <c r="I362" s="1758" t="s">
        <v>194</v>
      </c>
      <c r="J362" s="1756" t="s">
        <v>758</v>
      </c>
      <c r="K362" s="1755"/>
      <c r="L362" s="2006"/>
      <c r="M362" s="1757" t="s">
        <v>194</v>
      </c>
      <c r="N362" s="1756" t="s">
        <v>761</v>
      </c>
      <c r="O362" s="1815"/>
      <c r="P362" s="1756"/>
      <c r="Q362" s="1827"/>
      <c r="R362" s="1827"/>
      <c r="S362" s="1827"/>
      <c r="T362" s="1827"/>
      <c r="U362" s="1827"/>
      <c r="V362" s="1827"/>
      <c r="W362" s="1827"/>
      <c r="X362" s="1826"/>
      <c r="Y362" s="1878" t="s">
        <v>194</v>
      </c>
      <c r="Z362" s="1738" t="s">
        <v>754</v>
      </c>
      <c r="AA362" s="1738"/>
      <c r="AB362" s="1794"/>
      <c r="AC362" s="2015"/>
      <c r="AD362" s="2014"/>
      <c r="AE362" s="2014"/>
      <c r="AF362" s="2013"/>
      <c r="AG362" s="1735" t="str">
        <f>"23:sisetukbn_code:"&amp;IF(D370="■","2",0)</f>
        <v>23:sisetukbn_code:0</v>
      </c>
      <c r="AI362" s="1735" t="str">
        <f>"23:field223:" &amp; IF(I362="■",1,IF(M362="■",2,0))</f>
        <v>23:field223:0</v>
      </c>
    </row>
    <row r="363" spans="1:36" s="1735" customFormat="1" ht="19.5" hidden="1" customHeight="1">
      <c r="A363" s="1766"/>
      <c r="B363" s="1765"/>
      <c r="C363" s="1764"/>
      <c r="D363" s="1763"/>
      <c r="E363" s="1762"/>
      <c r="F363" s="1761"/>
      <c r="G363" s="1793"/>
      <c r="H363" s="1792" t="s">
        <v>762</v>
      </c>
      <c r="I363" s="1773" t="s">
        <v>194</v>
      </c>
      <c r="J363" s="1754" t="s">
        <v>758</v>
      </c>
      <c r="K363" s="1789"/>
      <c r="L363" s="1791"/>
      <c r="M363" s="1772" t="s">
        <v>194</v>
      </c>
      <c r="N363" s="1754" t="s">
        <v>761</v>
      </c>
      <c r="O363" s="1920"/>
      <c r="P363" s="1754"/>
      <c r="Q363" s="1768"/>
      <c r="R363" s="1768"/>
      <c r="S363" s="1768"/>
      <c r="T363" s="1768"/>
      <c r="U363" s="1768"/>
      <c r="V363" s="1768"/>
      <c r="W363" s="1768"/>
      <c r="X363" s="1767"/>
      <c r="Y363" s="1734"/>
      <c r="Z363" s="1734"/>
      <c r="AA363" s="1913"/>
      <c r="AB363" s="1794"/>
      <c r="AC363" s="2015"/>
      <c r="AD363" s="2014"/>
      <c r="AE363" s="2014"/>
      <c r="AF363" s="2013"/>
      <c r="AI363" s="1735" t="str">
        <f>"23:field232:" &amp; IF(I363="■",1,IF(M363="■",2,0))</f>
        <v>23:field232:0</v>
      </c>
    </row>
    <row r="364" spans="1:36" s="1735" customFormat="1" ht="18.75" hidden="1" customHeight="1">
      <c r="A364" s="1766"/>
      <c r="B364" s="1765"/>
      <c r="C364" s="1764"/>
      <c r="D364" s="1763"/>
      <c r="E364" s="1793"/>
      <c r="F364" s="1763"/>
      <c r="G364" s="1762"/>
      <c r="H364" s="1833" t="s">
        <v>1688</v>
      </c>
      <c r="I364" s="1758" t="s">
        <v>194</v>
      </c>
      <c r="J364" s="1756" t="s">
        <v>747</v>
      </c>
      <c r="K364" s="1755"/>
      <c r="L364" s="2006"/>
      <c r="M364" s="1757" t="s">
        <v>194</v>
      </c>
      <c r="N364" s="1756" t="s">
        <v>1556</v>
      </c>
      <c r="O364" s="1780"/>
      <c r="P364" s="1755"/>
      <c r="Q364" s="1755"/>
      <c r="R364" s="1755"/>
      <c r="S364" s="1755"/>
      <c r="T364" s="1755"/>
      <c r="U364" s="1755"/>
      <c r="V364" s="1755"/>
      <c r="W364" s="1755"/>
      <c r="X364" s="1832"/>
      <c r="Y364" s="1734"/>
      <c r="Z364" s="1734"/>
      <c r="AA364" s="1734"/>
      <c r="AB364" s="1794"/>
      <c r="AC364" s="2015"/>
      <c r="AD364" s="2014"/>
      <c r="AE364" s="2014"/>
      <c r="AF364" s="2013"/>
      <c r="AI364" s="1735" t="str">
        <f>"23:setubi_kijyun_code:" &amp; IF(I364="■",1,IF(M364="■",2,0))</f>
        <v>23:setubi_kijyun_code:0</v>
      </c>
    </row>
    <row r="365" spans="1:36" s="1735" customFormat="1" ht="18.75" hidden="1" customHeight="1">
      <c r="A365" s="1766"/>
      <c r="B365" s="1765"/>
      <c r="C365" s="1764"/>
      <c r="D365" s="1763"/>
      <c r="E365" s="1793"/>
      <c r="F365" s="1763"/>
      <c r="G365" s="1762"/>
      <c r="H365" s="1769" t="s">
        <v>1687</v>
      </c>
      <c r="I365" s="1773" t="s">
        <v>194</v>
      </c>
      <c r="J365" s="1754" t="s">
        <v>747</v>
      </c>
      <c r="K365" s="1789"/>
      <c r="L365" s="1791"/>
      <c r="M365" s="1772" t="s">
        <v>194</v>
      </c>
      <c r="N365" s="1754" t="s">
        <v>1556</v>
      </c>
      <c r="O365" s="1771"/>
      <c r="P365" s="1789"/>
      <c r="Q365" s="1789"/>
      <c r="R365" s="1789"/>
      <c r="S365" s="1789"/>
      <c r="T365" s="1789"/>
      <c r="U365" s="1789"/>
      <c r="V365" s="1789"/>
      <c r="W365" s="1789"/>
      <c r="X365" s="1918"/>
      <c r="Y365" s="1914"/>
      <c r="Z365" s="1913"/>
      <c r="AA365" s="1913"/>
      <c r="AB365" s="1794"/>
      <c r="AC365" s="2015"/>
      <c r="AD365" s="2014"/>
      <c r="AE365" s="2014"/>
      <c r="AF365" s="2013"/>
      <c r="AI365" s="1735" t="str">
        <f>"23:field163:" &amp; IF(I365="■",1,IF(M365="■",2,0))</f>
        <v>23:field163:0</v>
      </c>
    </row>
    <row r="366" spans="1:36" s="1735" customFormat="1" ht="18.75" hidden="1" customHeight="1">
      <c r="A366" s="1766"/>
      <c r="B366" s="1765"/>
      <c r="C366" s="1764"/>
      <c r="D366" s="1763"/>
      <c r="E366" s="1793"/>
      <c r="F366" s="1763"/>
      <c r="G366" s="1762"/>
      <c r="H366" s="1769" t="s">
        <v>1498</v>
      </c>
      <c r="I366" s="1773" t="s">
        <v>194</v>
      </c>
      <c r="J366" s="1754" t="s">
        <v>750</v>
      </c>
      <c r="K366" s="1789"/>
      <c r="L366" s="1772" t="s">
        <v>194</v>
      </c>
      <c r="M366" s="1754" t="s">
        <v>764</v>
      </c>
      <c r="N366" s="1768"/>
      <c r="O366" s="1768"/>
      <c r="P366" s="1768"/>
      <c r="Q366" s="1789"/>
      <c r="R366" s="1789"/>
      <c r="S366" s="1789"/>
      <c r="T366" s="1789"/>
      <c r="U366" s="1789"/>
      <c r="V366" s="1789"/>
      <c r="W366" s="1789"/>
      <c r="X366" s="1918"/>
      <c r="Y366" s="1914"/>
      <c r="Z366" s="1913"/>
      <c r="AA366" s="1913"/>
      <c r="AB366" s="1794"/>
      <c r="AC366" s="2015"/>
      <c r="AD366" s="2014"/>
      <c r="AE366" s="2014"/>
      <c r="AF366" s="2013"/>
      <c r="AI366" s="1735" t="str">
        <f>"23:jyakuninti_uke_code:" &amp; IF(I366="■",1,IF(L366="■",2,0))</f>
        <v>23:jyakuninti_uke_code:0</v>
      </c>
    </row>
    <row r="367" spans="1:36" s="1735" customFormat="1" ht="18.75" hidden="1" customHeight="1">
      <c r="A367" s="1766"/>
      <c r="B367" s="1765"/>
      <c r="C367" s="1764"/>
      <c r="D367" s="1763"/>
      <c r="E367" s="1793"/>
      <c r="F367" s="1878" t="s">
        <v>194</v>
      </c>
      <c r="G367" s="1762" t="s">
        <v>1696</v>
      </c>
      <c r="H367" s="1769" t="s">
        <v>1666</v>
      </c>
      <c r="I367" s="1773" t="s">
        <v>194</v>
      </c>
      <c r="J367" s="1754" t="s">
        <v>755</v>
      </c>
      <c r="K367" s="1789"/>
      <c r="L367" s="1791"/>
      <c r="M367" s="1772" t="s">
        <v>194</v>
      </c>
      <c r="N367" s="1754" t="s">
        <v>756</v>
      </c>
      <c r="O367" s="1768"/>
      <c r="P367" s="1768"/>
      <c r="Q367" s="1789"/>
      <c r="R367" s="1789"/>
      <c r="S367" s="1789"/>
      <c r="T367" s="1789"/>
      <c r="U367" s="1789"/>
      <c r="V367" s="1789"/>
      <c r="W367" s="1789"/>
      <c r="X367" s="1918"/>
      <c r="Y367" s="1913"/>
      <c r="Z367" s="1913"/>
      <c r="AA367" s="1913"/>
      <c r="AB367" s="1794"/>
      <c r="AC367" s="2015"/>
      <c r="AD367" s="2014"/>
      <c r="AE367" s="2014"/>
      <c r="AF367" s="2013"/>
      <c r="AI367" s="1735" t="str">
        <f>"23:sougei_code:" &amp; IF(I367="■",1,IF(M367="■",2,0))</f>
        <v>23:sougei_code:0</v>
      </c>
    </row>
    <row r="368" spans="1:36" s="1735" customFormat="1" ht="19.5" hidden="1" customHeight="1">
      <c r="A368" s="1766"/>
      <c r="B368" s="1765"/>
      <c r="C368" s="1764"/>
      <c r="D368" s="1763"/>
      <c r="E368" s="1793"/>
      <c r="F368" s="1763"/>
      <c r="G368" s="1762" t="s">
        <v>1695</v>
      </c>
      <c r="H368" s="1792" t="s">
        <v>1516</v>
      </c>
      <c r="I368" s="1773" t="s">
        <v>194</v>
      </c>
      <c r="J368" s="1754" t="s">
        <v>750</v>
      </c>
      <c r="K368" s="1754"/>
      <c r="L368" s="1772" t="s">
        <v>194</v>
      </c>
      <c r="M368" s="1754" t="s">
        <v>764</v>
      </c>
      <c r="N368" s="1754"/>
      <c r="O368" s="1768"/>
      <c r="P368" s="1754"/>
      <c r="Q368" s="1768"/>
      <c r="R368" s="1768"/>
      <c r="S368" s="1768"/>
      <c r="T368" s="1768"/>
      <c r="U368" s="1768"/>
      <c r="V368" s="1768"/>
      <c r="W368" s="1768"/>
      <c r="X368" s="1767"/>
      <c r="Y368" s="1913"/>
      <c r="Z368" s="1913"/>
      <c r="AA368" s="1913"/>
      <c r="AB368" s="1794"/>
      <c r="AC368" s="2015"/>
      <c r="AD368" s="2014"/>
      <c r="AE368" s="2014"/>
      <c r="AF368" s="2013"/>
      <c r="AI368" s="1735" t="str">
        <f>"23:field224:" &amp; IF(I368="■",1,IF(L368="■",2,0))</f>
        <v>23:field224:0</v>
      </c>
    </row>
    <row r="369" spans="1:36" s="1735" customFormat="1" ht="18.75" hidden="1" customHeight="1">
      <c r="A369" s="1766"/>
      <c r="B369" s="1765"/>
      <c r="C369" s="1764"/>
      <c r="D369" s="1763"/>
      <c r="E369" s="1793"/>
      <c r="F369" s="1878" t="s">
        <v>194</v>
      </c>
      <c r="G369" s="1762" t="s">
        <v>1694</v>
      </c>
      <c r="H369" s="1769" t="s">
        <v>787</v>
      </c>
      <c r="I369" s="1773" t="s">
        <v>194</v>
      </c>
      <c r="J369" s="1754" t="s">
        <v>750</v>
      </c>
      <c r="K369" s="1789"/>
      <c r="L369" s="1772" t="s">
        <v>194</v>
      </c>
      <c r="M369" s="1754" t="s">
        <v>764</v>
      </c>
      <c r="N369" s="1768"/>
      <c r="O369" s="1768"/>
      <c r="P369" s="1768"/>
      <c r="Q369" s="1789"/>
      <c r="R369" s="1789"/>
      <c r="S369" s="1789"/>
      <c r="T369" s="1789"/>
      <c r="U369" s="1789"/>
      <c r="V369" s="1789"/>
      <c r="W369" s="1789"/>
      <c r="X369" s="1918"/>
      <c r="Y369" s="1914"/>
      <c r="Z369" s="1913"/>
      <c r="AA369" s="1913"/>
      <c r="AB369" s="1794"/>
      <c r="AC369" s="2015"/>
      <c r="AD369" s="2014"/>
      <c r="AE369" s="2014"/>
      <c r="AF369" s="2013"/>
      <c r="AI369" s="1735" t="str">
        <f>"23:ryouyoushoku_code:" &amp; IF(I369="■",1,IF(L369="■",2,0))</f>
        <v>23:ryouyoushoku_code:0</v>
      </c>
    </row>
    <row r="370" spans="1:36" s="1735" customFormat="1" ht="18.75" hidden="1" customHeight="1">
      <c r="A370" s="1776" t="s">
        <v>194</v>
      </c>
      <c r="B370" s="1765">
        <v>23</v>
      </c>
      <c r="C370" s="1764" t="s">
        <v>1668</v>
      </c>
      <c r="D370" s="1878" t="s">
        <v>194</v>
      </c>
      <c r="E370" s="1793" t="s">
        <v>1693</v>
      </c>
      <c r="F370" s="1763"/>
      <c r="G370" s="1762" t="s">
        <v>1692</v>
      </c>
      <c r="H370" s="1769" t="s">
        <v>1681</v>
      </c>
      <c r="I370" s="1773" t="s">
        <v>194</v>
      </c>
      <c r="J370" s="1754" t="s">
        <v>750</v>
      </c>
      <c r="K370" s="1754"/>
      <c r="L370" s="1772" t="s">
        <v>194</v>
      </c>
      <c r="M370" s="1754" t="s">
        <v>784</v>
      </c>
      <c r="N370" s="1754"/>
      <c r="O370" s="1772" t="s">
        <v>194</v>
      </c>
      <c r="P370" s="1754" t="s">
        <v>785</v>
      </c>
      <c r="Q370" s="1768"/>
      <c r="R370" s="1789"/>
      <c r="S370" s="1789"/>
      <c r="T370" s="1789"/>
      <c r="U370" s="1789"/>
      <c r="V370" s="1789"/>
      <c r="W370" s="1789"/>
      <c r="X370" s="1918"/>
      <c r="Y370" s="1914"/>
      <c r="Z370" s="1913"/>
      <c r="AA370" s="1913"/>
      <c r="AB370" s="1794"/>
      <c r="AC370" s="2015"/>
      <c r="AD370" s="2014"/>
      <c r="AE370" s="2014"/>
      <c r="AF370" s="2013"/>
      <c r="AI370" s="1735" t="str">
        <f>"23:ninti_senmoncare_code:" &amp; IF(I370="■",1,IF(O370="■",3,IF(L370="■",2,0)))</f>
        <v>23:ninti_senmoncare_code:0</v>
      </c>
    </row>
    <row r="371" spans="1:36" s="1735" customFormat="1" ht="18.75" hidden="1" customHeight="1">
      <c r="A371" s="1766"/>
      <c r="B371" s="1765"/>
      <c r="C371" s="1764"/>
      <c r="D371" s="1763"/>
      <c r="E371" s="1793"/>
      <c r="F371" s="1878" t="s">
        <v>194</v>
      </c>
      <c r="G371" s="1762" t="s">
        <v>1691</v>
      </c>
      <c r="H371" s="1925" t="s">
        <v>1690</v>
      </c>
      <c r="I371" s="1924" t="s">
        <v>194</v>
      </c>
      <c r="J371" s="1923" t="s">
        <v>1589</v>
      </c>
      <c r="K371" s="1923"/>
      <c r="L371" s="1829"/>
      <c r="M371" s="1829"/>
      <c r="N371" s="1829"/>
      <c r="O371" s="1829"/>
      <c r="P371" s="1922" t="s">
        <v>194</v>
      </c>
      <c r="Q371" s="1923" t="s">
        <v>1588</v>
      </c>
      <c r="R371" s="1829"/>
      <c r="S371" s="1829"/>
      <c r="T371" s="1829"/>
      <c r="U371" s="1829"/>
      <c r="V371" s="1829"/>
      <c r="W371" s="1829"/>
      <c r="X371" s="1828"/>
      <c r="Y371" s="1914"/>
      <c r="Z371" s="1913"/>
      <c r="AA371" s="1913"/>
      <c r="AB371" s="1794"/>
      <c r="AC371" s="2015"/>
      <c r="AD371" s="2014"/>
      <c r="AE371" s="2014"/>
      <c r="AF371" s="2013"/>
      <c r="AI371" s="1735" t="str">
        <f>"23:" &amp; IF(AND(I371="□",P371="□",I372="□"),"tokusin_jyusho_code:0:tokusin_yakuzai_code:0:shuudan_comu_code:0",IF(I371="■","tokusin_jyusho_code:2","tokusin_jyusho_code:1")
&amp;IF(P371="■",":tokusin_yakuzai_code:2",":tokusin_yakuzai_code:1")
&amp;IF(I372="■",":shuudan_comu_code:2",":shuudan_comu_code:1"))</f>
        <v>23:tokusin_jyusho_code:0:tokusin_yakuzai_code:0:shuudan_comu_code:0</v>
      </c>
    </row>
    <row r="372" spans="1:36" s="1735" customFormat="1" ht="18.75" hidden="1" customHeight="1">
      <c r="A372" s="1766"/>
      <c r="B372" s="1765"/>
      <c r="C372" s="1764"/>
      <c r="D372" s="1763"/>
      <c r="E372" s="1793"/>
      <c r="F372" s="1763"/>
      <c r="G372" s="1762" t="s">
        <v>1689</v>
      </c>
      <c r="H372" s="1921"/>
      <c r="I372" s="1758" t="s">
        <v>194</v>
      </c>
      <c r="J372" s="1756" t="s">
        <v>1585</v>
      </c>
      <c r="K372" s="1827"/>
      <c r="L372" s="1827"/>
      <c r="M372" s="1827"/>
      <c r="N372" s="1827"/>
      <c r="O372" s="1827"/>
      <c r="P372" s="1827"/>
      <c r="Q372" s="1780"/>
      <c r="R372" s="1827"/>
      <c r="S372" s="1827"/>
      <c r="T372" s="1827"/>
      <c r="U372" s="1827"/>
      <c r="V372" s="1827"/>
      <c r="W372" s="1827"/>
      <c r="X372" s="1826"/>
      <c r="Y372" s="1914"/>
      <c r="Z372" s="1913"/>
      <c r="AA372" s="1913"/>
      <c r="AB372" s="1794"/>
      <c r="AC372" s="2015"/>
      <c r="AD372" s="2014"/>
      <c r="AE372" s="2014"/>
      <c r="AF372" s="2013"/>
    </row>
    <row r="373" spans="1:36" s="1735" customFormat="1" ht="18.75" hidden="1" customHeight="1">
      <c r="A373" s="1766"/>
      <c r="B373" s="1765"/>
      <c r="C373" s="1764"/>
      <c r="D373" s="1763"/>
      <c r="E373" s="1793"/>
      <c r="F373" s="1878" t="s">
        <v>194</v>
      </c>
      <c r="G373" s="1762" t="s">
        <v>1559</v>
      </c>
      <c r="H373" s="1917" t="s">
        <v>794</v>
      </c>
      <c r="I373" s="1773" t="s">
        <v>194</v>
      </c>
      <c r="J373" s="1754" t="s">
        <v>750</v>
      </c>
      <c r="K373" s="1754"/>
      <c r="L373" s="1772" t="s">
        <v>194</v>
      </c>
      <c r="M373" s="1754" t="s">
        <v>784</v>
      </c>
      <c r="N373" s="1754"/>
      <c r="O373" s="1772" t="s">
        <v>194</v>
      </c>
      <c r="P373" s="1754" t="s">
        <v>785</v>
      </c>
      <c r="Q373" s="1768"/>
      <c r="R373" s="1768"/>
      <c r="S373" s="1768"/>
      <c r="T373" s="1768"/>
      <c r="U373" s="1829"/>
      <c r="V373" s="1829"/>
      <c r="W373" s="1829"/>
      <c r="X373" s="1828"/>
      <c r="Y373" s="1914"/>
      <c r="Z373" s="1913"/>
      <c r="AA373" s="1913"/>
      <c r="AB373" s="1794"/>
      <c r="AC373" s="2015"/>
      <c r="AD373" s="2014"/>
      <c r="AE373" s="2014"/>
      <c r="AF373" s="2013"/>
      <c r="AI373" s="1735" t="str">
        <f>"23:field225:" &amp; IF(I373="■",1,IF(L373="■",2,IF(O373="■",3,0)))</f>
        <v>23:field225:0</v>
      </c>
    </row>
    <row r="374" spans="1:36" s="1735" customFormat="1" ht="18.75" hidden="1" customHeight="1">
      <c r="A374" s="1766"/>
      <c r="B374" s="1765"/>
      <c r="C374" s="1764"/>
      <c r="D374" s="1763"/>
      <c r="E374" s="1793"/>
      <c r="F374" s="1763"/>
      <c r="G374" s="1762"/>
      <c r="H374" s="1925" t="s">
        <v>1584</v>
      </c>
      <c r="I374" s="1924" t="s">
        <v>194</v>
      </c>
      <c r="J374" s="1923" t="s">
        <v>1583</v>
      </c>
      <c r="K374" s="1938"/>
      <c r="L374" s="1937"/>
      <c r="M374" s="1922" t="s">
        <v>194</v>
      </c>
      <c r="N374" s="1923" t="s">
        <v>1582</v>
      </c>
      <c r="O374" s="1829"/>
      <c r="P374" s="1829"/>
      <c r="Q374" s="1922" t="s">
        <v>194</v>
      </c>
      <c r="R374" s="1923" t="s">
        <v>1581</v>
      </c>
      <c r="S374" s="1829"/>
      <c r="T374" s="1829"/>
      <c r="U374" s="1829"/>
      <c r="V374" s="1829"/>
      <c r="W374" s="1829"/>
      <c r="X374" s="1828"/>
      <c r="Y374" s="1914"/>
      <c r="Z374" s="1913"/>
      <c r="AA374" s="1913"/>
      <c r="AB374" s="1794"/>
      <c r="AC374" s="2015"/>
      <c r="AD374" s="2014"/>
      <c r="AE374" s="2014"/>
      <c r="AF374" s="2013"/>
      <c r="AI374" s="1735" t="str">
        <f>"23:"&amp;IF(AND(I374="□",M374="□",Q374="□",I375="□",Q375="□"),"koriha_rryoho1_code:0:koriha_sryoho_code:0:koriha_gengo_code:0:riha_seisin_code:0:koriha_other_code:0",IF(I374="■","koriha_rryoho1_code:2","koriha_rryoho1_code:1")
&amp;IF(M374="■",":koriha_sryoho_code:2",":koriha_sryoho_code:1")
&amp;IF(Q374="■",":koriha_gengo_code:2",":koriha_gengo_code:1")
&amp;IF(I375="■",":riha_seisin_code:2",":riha_seisin_code:1")
&amp;IF(Q375="■",":koriha_other_code:2",":koriha_other_code:1"))</f>
        <v>23:koriha_rryoho1_code:0:koriha_sryoho_code:0:koriha_gengo_code:0:riha_seisin_code:0:koriha_other_code:0</v>
      </c>
    </row>
    <row r="375" spans="1:36" s="1735" customFormat="1" ht="18.75" hidden="1" customHeight="1">
      <c r="A375" s="1766"/>
      <c r="B375" s="1765"/>
      <c r="C375" s="1764"/>
      <c r="D375" s="1763"/>
      <c r="E375" s="1793"/>
      <c r="F375" s="1761"/>
      <c r="G375" s="1762"/>
      <c r="H375" s="1921"/>
      <c r="I375" s="1758" t="s">
        <v>194</v>
      </c>
      <c r="J375" s="1756" t="s">
        <v>1580</v>
      </c>
      <c r="K375" s="1827"/>
      <c r="L375" s="1827"/>
      <c r="M375" s="1827"/>
      <c r="N375" s="1827"/>
      <c r="O375" s="1827"/>
      <c r="P375" s="1827"/>
      <c r="Q375" s="1757" t="s">
        <v>194</v>
      </c>
      <c r="R375" s="1756" t="s">
        <v>1579</v>
      </c>
      <c r="S375" s="1780"/>
      <c r="T375" s="1827"/>
      <c r="U375" s="1827"/>
      <c r="V375" s="1827"/>
      <c r="W375" s="1827"/>
      <c r="X375" s="1826"/>
      <c r="Y375" s="1914"/>
      <c r="Z375" s="1913"/>
      <c r="AA375" s="1913"/>
      <c r="AB375" s="1794"/>
      <c r="AC375" s="2015"/>
      <c r="AD375" s="2014"/>
      <c r="AE375" s="2014"/>
      <c r="AF375" s="2013"/>
    </row>
    <row r="376" spans="1:36" s="1735" customFormat="1" ht="18.75" hidden="1" customHeight="1">
      <c r="A376" s="1766"/>
      <c r="B376" s="1765"/>
      <c r="C376" s="1764"/>
      <c r="D376" s="1763"/>
      <c r="E376" s="1793"/>
      <c r="F376" s="1761"/>
      <c r="G376" s="1762"/>
      <c r="H376" s="1777" t="s">
        <v>795</v>
      </c>
      <c r="I376" s="1773" t="s">
        <v>194</v>
      </c>
      <c r="J376" s="1754" t="s">
        <v>750</v>
      </c>
      <c r="K376" s="1754"/>
      <c r="L376" s="1772" t="s">
        <v>194</v>
      </c>
      <c r="M376" s="1754" t="s">
        <v>796</v>
      </c>
      <c r="N376" s="1754"/>
      <c r="O376" s="1772" t="s">
        <v>194</v>
      </c>
      <c r="P376" s="1754" t="s">
        <v>797</v>
      </c>
      <c r="Q376" s="1771"/>
      <c r="R376" s="1772" t="s">
        <v>194</v>
      </c>
      <c r="S376" s="1754" t="s">
        <v>798</v>
      </c>
      <c r="T376" s="1771"/>
      <c r="U376" s="1771"/>
      <c r="V376" s="1771"/>
      <c r="W376" s="1771"/>
      <c r="X376" s="1770"/>
      <c r="Y376" s="1914"/>
      <c r="Z376" s="1913"/>
      <c r="AA376" s="1913"/>
      <c r="AB376" s="1794"/>
      <c r="AC376" s="2015"/>
      <c r="AD376" s="2014"/>
      <c r="AE376" s="2014"/>
      <c r="AF376" s="2013"/>
      <c r="AI376" s="1735" t="str">
        <f>"23:serteikyo_kyoka_code:" &amp; IF(I376="■",1,IF(L376="■",6,IF(O376="■",5,IF(R376="■",7,0))))</f>
        <v>23:serteikyo_kyoka_code:0</v>
      </c>
    </row>
    <row r="377" spans="1:36" s="1735" customFormat="1" ht="18.75" hidden="1" customHeight="1">
      <c r="A377" s="1766"/>
      <c r="B377" s="1765"/>
      <c r="C377" s="1764"/>
      <c r="D377" s="1763"/>
      <c r="E377" s="1793"/>
      <c r="F377" s="1761"/>
      <c r="G377" s="1762"/>
      <c r="H377" s="1788" t="s">
        <v>1665</v>
      </c>
      <c r="I377" s="1969" t="s">
        <v>194</v>
      </c>
      <c r="J377" s="1968" t="s">
        <v>750</v>
      </c>
      <c r="K377" s="1968"/>
      <c r="L377" s="1967" t="s">
        <v>194</v>
      </c>
      <c r="M377" s="1968" t="s">
        <v>764</v>
      </c>
      <c r="N377" s="1968"/>
      <c r="O377" s="1923"/>
      <c r="P377" s="1923"/>
      <c r="Q377" s="1923"/>
      <c r="R377" s="1923"/>
      <c r="S377" s="1923"/>
      <c r="T377" s="1923"/>
      <c r="U377" s="1923"/>
      <c r="V377" s="1923"/>
      <c r="W377" s="1923"/>
      <c r="X377" s="1956"/>
      <c r="Y377" s="1914"/>
      <c r="Z377" s="1913"/>
      <c r="AA377" s="1913"/>
      <c r="AB377" s="1794"/>
      <c r="AC377" s="2015"/>
      <c r="AD377" s="2014"/>
      <c r="AE377" s="2014"/>
      <c r="AF377" s="2013"/>
      <c r="AI377" s="1735" t="str">
        <f>"23:field221:" &amp; IF(I377="■",1,IF(L377="■",2,0))</f>
        <v>23:field221:0</v>
      </c>
    </row>
    <row r="378" spans="1:36" s="1735" customFormat="1" ht="18.75" hidden="1" customHeight="1">
      <c r="A378" s="1766"/>
      <c r="B378" s="1765"/>
      <c r="C378" s="1764"/>
      <c r="D378" s="1763"/>
      <c r="E378" s="1793"/>
      <c r="F378" s="1761"/>
      <c r="G378" s="1762"/>
      <c r="H378" s="1783"/>
      <c r="I378" s="1969"/>
      <c r="J378" s="1968"/>
      <c r="K378" s="1968"/>
      <c r="L378" s="1967"/>
      <c r="M378" s="1968"/>
      <c r="N378" s="1968"/>
      <c r="O378" s="1756"/>
      <c r="P378" s="1756"/>
      <c r="Q378" s="1756"/>
      <c r="R378" s="1756"/>
      <c r="S378" s="1756"/>
      <c r="T378" s="1756"/>
      <c r="U378" s="1756"/>
      <c r="V378" s="1756"/>
      <c r="W378" s="1756"/>
      <c r="X378" s="1814"/>
      <c r="Y378" s="1914"/>
      <c r="Z378" s="1913"/>
      <c r="AA378" s="1913"/>
      <c r="AB378" s="1794"/>
      <c r="AC378" s="2015"/>
      <c r="AD378" s="2014"/>
      <c r="AE378" s="2014"/>
      <c r="AF378" s="2013"/>
    </row>
    <row r="379" spans="1:36" s="1735" customFormat="1" ht="18.75" hidden="1" customHeight="1">
      <c r="A379" s="1752"/>
      <c r="B379" s="1751"/>
      <c r="C379" s="1750"/>
      <c r="D379" s="1749"/>
      <c r="E379" s="1748"/>
      <c r="F379" s="1747"/>
      <c r="G379" s="1808"/>
      <c r="H379" s="1909" t="s">
        <v>1553</v>
      </c>
      <c r="I379" s="1744" t="s">
        <v>194</v>
      </c>
      <c r="J379" s="1905" t="s">
        <v>750</v>
      </c>
      <c r="K379" s="1905"/>
      <c r="L379" s="1743" t="s">
        <v>194</v>
      </c>
      <c r="M379" s="1905" t="s">
        <v>1552</v>
      </c>
      <c r="N379" s="1908"/>
      <c r="O379" s="1743" t="s">
        <v>194</v>
      </c>
      <c r="P379" s="1907" t="s">
        <v>1551</v>
      </c>
      <c r="Q379" s="1906"/>
      <c r="R379" s="1743" t="s">
        <v>194</v>
      </c>
      <c r="S379" s="1905" t="s">
        <v>1550</v>
      </c>
      <c r="T379" s="1906"/>
      <c r="U379" s="1743" t="s">
        <v>194</v>
      </c>
      <c r="V379" s="1905" t="s">
        <v>1549</v>
      </c>
      <c r="W379" s="1904"/>
      <c r="X379" s="1903"/>
      <c r="Y379" s="1902"/>
      <c r="Z379" s="1902"/>
      <c r="AA379" s="1902"/>
      <c r="AB379" s="1901"/>
      <c r="AC379" s="2012"/>
      <c r="AD379" s="2011"/>
      <c r="AE379" s="2011"/>
      <c r="AF379" s="2010"/>
      <c r="AI379" s="1735" t="str">
        <f>"23:shoguukaizen_code:"&amp;IF(I379="■",1,IF(L379="■",7,IF(O379="■",8,IF(R379="■",9,IF(U379="■","A",0)))))</f>
        <v>23:shoguukaizen_code:0</v>
      </c>
    </row>
    <row r="380" spans="1:36" s="1735" customFormat="1" ht="18.75" hidden="1" customHeight="1">
      <c r="A380" s="1807"/>
      <c r="B380" s="1806"/>
      <c r="C380" s="1849"/>
      <c r="D380" s="1848"/>
      <c r="E380" s="1802"/>
      <c r="F380" s="1848"/>
      <c r="G380" s="1804"/>
      <c r="H380" s="1801" t="s">
        <v>99</v>
      </c>
      <c r="I380" s="1800" t="s">
        <v>194</v>
      </c>
      <c r="J380" s="1799" t="s">
        <v>755</v>
      </c>
      <c r="K380" s="1846"/>
      <c r="L380" s="1845"/>
      <c r="M380" s="1798" t="s">
        <v>194</v>
      </c>
      <c r="N380" s="1799" t="s">
        <v>756</v>
      </c>
      <c r="O380" s="1796"/>
      <c r="P380" s="1796"/>
      <c r="Q380" s="1796"/>
      <c r="R380" s="1796"/>
      <c r="S380" s="1796"/>
      <c r="T380" s="1796"/>
      <c r="U380" s="1796"/>
      <c r="V380" s="1796"/>
      <c r="W380" s="1796"/>
      <c r="X380" s="1795"/>
      <c r="Y380" s="1873" t="s">
        <v>194</v>
      </c>
      <c r="Z380" s="1872" t="s">
        <v>749</v>
      </c>
      <c r="AA380" s="1872"/>
      <c r="AB380" s="1929"/>
      <c r="AC380" s="1959"/>
      <c r="AD380" s="1959"/>
      <c r="AE380" s="1959"/>
      <c r="AF380" s="1959"/>
      <c r="AG380" s="1735" t="str">
        <f>"ser_code = '" &amp; IF(A389="■",23,"") &amp; "'"</f>
        <v>ser_code = ''</v>
      </c>
      <c r="AH380" s="1735" t="str">
        <f>"23:jininkbn_code:"&amp;IF(F387="■",1,IF(F389="■",2,IF(F391="■",3,0)))</f>
        <v>23:jininkbn_code:0</v>
      </c>
      <c r="AI380" s="1735" t="str">
        <f>"23:unitcare_code:" &amp; IF(I380="■",1,IF(M380="■",2,0))</f>
        <v>23:unitcare_code:0</v>
      </c>
      <c r="AJ380" s="1735" t="str">
        <f>"23:field203:" &amp; IF(Y380="■",1,IF(Y381="■",2,0))</f>
        <v>23:field203:0</v>
      </c>
    </row>
    <row r="381" spans="1:36" s="1735" customFormat="1" ht="18.75" hidden="1" customHeight="1">
      <c r="A381" s="1766"/>
      <c r="B381" s="1765"/>
      <c r="C381" s="1916"/>
      <c r="D381" s="1915"/>
      <c r="E381" s="1762"/>
      <c r="F381" s="1761"/>
      <c r="G381" s="1793"/>
      <c r="H381" s="2002" t="s">
        <v>757</v>
      </c>
      <c r="I381" s="1842" t="s">
        <v>194</v>
      </c>
      <c r="J381" s="1837" t="s">
        <v>758</v>
      </c>
      <c r="K381" s="1841"/>
      <c r="L381" s="1840"/>
      <c r="M381" s="1839" t="s">
        <v>194</v>
      </c>
      <c r="N381" s="1837" t="s">
        <v>759</v>
      </c>
      <c r="O381" s="1841"/>
      <c r="P381" s="2001"/>
      <c r="Q381" s="2001"/>
      <c r="R381" s="2001"/>
      <c r="S381" s="2001"/>
      <c r="T381" s="2001"/>
      <c r="U381" s="2001"/>
      <c r="V381" s="2001"/>
      <c r="W381" s="2001"/>
      <c r="X381" s="2000"/>
      <c r="Y381" s="1878" t="s">
        <v>194</v>
      </c>
      <c r="Z381" s="1738" t="s">
        <v>754</v>
      </c>
      <c r="AA381" s="1913"/>
      <c r="AB381" s="1794"/>
      <c r="AC381" s="1970"/>
      <c r="AD381" s="1970"/>
      <c r="AE381" s="1970"/>
      <c r="AF381" s="1970"/>
      <c r="AG381" s="1735" t="str">
        <f>"23:sisetukbn_code:"&amp;IF(D389="■","7",0)</f>
        <v>23:sisetukbn_code:0</v>
      </c>
      <c r="AI381" s="1735" t="str">
        <f>"23:sintaikousoku_code:" &amp; IF(I381="■",1,IF(M381="■",2,0))</f>
        <v>23:sintaikousoku_code:0</v>
      </c>
    </row>
    <row r="382" spans="1:36" s="1735" customFormat="1" ht="19.5" hidden="1" customHeight="1">
      <c r="A382" s="1766"/>
      <c r="B382" s="1765"/>
      <c r="C382" s="1764"/>
      <c r="D382" s="1763"/>
      <c r="E382" s="1762"/>
      <c r="F382" s="1761"/>
      <c r="G382" s="1793"/>
      <c r="H382" s="1792" t="s">
        <v>760</v>
      </c>
      <c r="I382" s="1773" t="s">
        <v>194</v>
      </c>
      <c r="J382" s="1754" t="s">
        <v>758</v>
      </c>
      <c r="K382" s="1789"/>
      <c r="L382" s="1791"/>
      <c r="M382" s="1772" t="s">
        <v>194</v>
      </c>
      <c r="N382" s="1754" t="s">
        <v>761</v>
      </c>
      <c r="O382" s="1920"/>
      <c r="P382" s="1754"/>
      <c r="Q382" s="1768"/>
      <c r="R382" s="1768"/>
      <c r="S382" s="1768"/>
      <c r="T382" s="1768"/>
      <c r="U382" s="1768"/>
      <c r="V382" s="1768"/>
      <c r="W382" s="1768"/>
      <c r="X382" s="1767"/>
      <c r="Y382" s="1816"/>
      <c r="Z382" s="1738"/>
      <c r="AA382" s="1913"/>
      <c r="AB382" s="1794"/>
      <c r="AC382" s="1970"/>
      <c r="AD382" s="1970"/>
      <c r="AE382" s="1970"/>
      <c r="AF382" s="1970"/>
      <c r="AI382" s="1735" t="str">
        <f>"23:field223:" &amp; IF(I382="■",1,IF(M382="■",2,0))</f>
        <v>23:field223:0</v>
      </c>
    </row>
    <row r="383" spans="1:36" s="1735" customFormat="1" ht="19.5" hidden="1" customHeight="1">
      <c r="A383" s="1766"/>
      <c r="B383" s="1765"/>
      <c r="C383" s="1764"/>
      <c r="D383" s="1763"/>
      <c r="E383" s="1762"/>
      <c r="F383" s="1761"/>
      <c r="G383" s="1793"/>
      <c r="H383" s="1792" t="s">
        <v>762</v>
      </c>
      <c r="I383" s="1773" t="s">
        <v>194</v>
      </c>
      <c r="J383" s="1754" t="s">
        <v>758</v>
      </c>
      <c r="K383" s="1789"/>
      <c r="L383" s="1791"/>
      <c r="M383" s="1772" t="s">
        <v>194</v>
      </c>
      <c r="N383" s="1754" t="s">
        <v>761</v>
      </c>
      <c r="O383" s="1920"/>
      <c r="P383" s="1754"/>
      <c r="Q383" s="1768"/>
      <c r="R383" s="1768"/>
      <c r="S383" s="1768"/>
      <c r="T383" s="1768"/>
      <c r="U383" s="1768"/>
      <c r="V383" s="1768"/>
      <c r="W383" s="1768"/>
      <c r="X383" s="1767"/>
      <c r="Y383" s="1816"/>
      <c r="Z383" s="1738"/>
      <c r="AA383" s="1913"/>
      <c r="AB383" s="1794"/>
      <c r="AC383" s="1970"/>
      <c r="AD383" s="1970"/>
      <c r="AE383" s="1970"/>
      <c r="AF383" s="1970"/>
      <c r="AI383" s="1735" t="str">
        <f>"23:field232:" &amp; IF(I383="■",1,IF(M383="■",2,0))</f>
        <v>23:field232:0</v>
      </c>
    </row>
    <row r="384" spans="1:36" s="1735" customFormat="1" ht="18.75" hidden="1" customHeight="1">
      <c r="A384" s="1766"/>
      <c r="B384" s="1765"/>
      <c r="C384" s="1764"/>
      <c r="D384" s="1763"/>
      <c r="E384" s="1793"/>
      <c r="F384" s="1763"/>
      <c r="G384" s="1762"/>
      <c r="H384" s="1769" t="s">
        <v>1688</v>
      </c>
      <c r="I384" s="1773" t="s">
        <v>194</v>
      </c>
      <c r="J384" s="1754" t="s">
        <v>747</v>
      </c>
      <c r="K384" s="1789"/>
      <c r="L384" s="1791"/>
      <c r="M384" s="1772" t="s">
        <v>194</v>
      </c>
      <c r="N384" s="1754" t="s">
        <v>1556</v>
      </c>
      <c r="O384" s="1768"/>
      <c r="P384" s="1768"/>
      <c r="Q384" s="1768"/>
      <c r="R384" s="1768"/>
      <c r="S384" s="1768"/>
      <c r="T384" s="1768"/>
      <c r="U384" s="1768"/>
      <c r="V384" s="1768"/>
      <c r="W384" s="1768"/>
      <c r="X384" s="1767"/>
      <c r="Y384" s="1914"/>
      <c r="Z384" s="1913"/>
      <c r="AA384" s="1913"/>
      <c r="AB384" s="1794"/>
      <c r="AC384" s="1954"/>
      <c r="AD384" s="1954"/>
      <c r="AE384" s="1954"/>
      <c r="AF384" s="1954"/>
      <c r="AI384" s="1735" t="str">
        <f>"23:setubi_kijyun_code:" &amp; IF(I384="■",1,IF(M384="■",2,0))</f>
        <v>23:setubi_kijyun_code:0</v>
      </c>
    </row>
    <row r="385" spans="1:36" s="1735" customFormat="1" ht="18.75" hidden="1" customHeight="1">
      <c r="A385" s="1766"/>
      <c r="B385" s="1765"/>
      <c r="C385" s="1764"/>
      <c r="D385" s="1763"/>
      <c r="E385" s="1793"/>
      <c r="F385" s="1763"/>
      <c r="G385" s="1762"/>
      <c r="H385" s="1769" t="s">
        <v>1687</v>
      </c>
      <c r="I385" s="1773" t="s">
        <v>194</v>
      </c>
      <c r="J385" s="1754" t="s">
        <v>747</v>
      </c>
      <c r="K385" s="1789"/>
      <c r="L385" s="1791"/>
      <c r="M385" s="1772" t="s">
        <v>194</v>
      </c>
      <c r="N385" s="1754" t="s">
        <v>1556</v>
      </c>
      <c r="O385" s="1768"/>
      <c r="P385" s="1768"/>
      <c r="Q385" s="1768"/>
      <c r="R385" s="1768"/>
      <c r="S385" s="1768"/>
      <c r="T385" s="1768"/>
      <c r="U385" s="1768"/>
      <c r="V385" s="1768"/>
      <c r="W385" s="1768"/>
      <c r="X385" s="1767"/>
      <c r="Y385" s="1914"/>
      <c r="Z385" s="1913"/>
      <c r="AA385" s="1913"/>
      <c r="AB385" s="1794"/>
      <c r="AC385" s="1954"/>
      <c r="AD385" s="1954"/>
      <c r="AE385" s="1954"/>
      <c r="AF385" s="1954"/>
      <c r="AI385" s="1735" t="str">
        <f>"23:field163:" &amp; IF(I385="■",1,IF(M385="■",2,0))</f>
        <v>23:field163:0</v>
      </c>
    </row>
    <row r="386" spans="1:36" s="1735" customFormat="1" ht="18.75" hidden="1" customHeight="1">
      <c r="A386" s="1766"/>
      <c r="B386" s="1765"/>
      <c r="C386" s="1764"/>
      <c r="D386" s="1763"/>
      <c r="E386" s="1793"/>
      <c r="F386" s="1763"/>
      <c r="G386" s="1762"/>
      <c r="H386" s="1769" t="s">
        <v>1498</v>
      </c>
      <c r="I386" s="1773" t="s">
        <v>194</v>
      </c>
      <c r="J386" s="1754" t="s">
        <v>750</v>
      </c>
      <c r="K386" s="1789"/>
      <c r="L386" s="1772" t="s">
        <v>194</v>
      </c>
      <c r="M386" s="1754" t="s">
        <v>764</v>
      </c>
      <c r="N386" s="1768"/>
      <c r="O386" s="1768"/>
      <c r="P386" s="1768"/>
      <c r="Q386" s="1789"/>
      <c r="R386" s="1768"/>
      <c r="S386" s="1768"/>
      <c r="T386" s="1768"/>
      <c r="U386" s="1768"/>
      <c r="V386" s="1768"/>
      <c r="W386" s="1768"/>
      <c r="X386" s="1767"/>
      <c r="Y386" s="1914"/>
      <c r="Z386" s="1913"/>
      <c r="AA386" s="1913"/>
      <c r="AB386" s="1794"/>
      <c r="AC386" s="1954"/>
      <c r="AD386" s="1954"/>
      <c r="AE386" s="1954"/>
      <c r="AF386" s="1954"/>
      <c r="AI386" s="1735" t="str">
        <f>"23:jyakuninti_uke_code:" &amp; IF(I386="■",1,IF(L386="■",2,0))</f>
        <v>23:jyakuninti_uke_code:0</v>
      </c>
    </row>
    <row r="387" spans="1:36" s="1735" customFormat="1" ht="18.75" hidden="1" customHeight="1">
      <c r="A387" s="1766"/>
      <c r="B387" s="1765"/>
      <c r="C387" s="1764"/>
      <c r="D387" s="1763"/>
      <c r="E387" s="1793"/>
      <c r="F387" s="1878" t="s">
        <v>194</v>
      </c>
      <c r="G387" s="1762" t="s">
        <v>1686</v>
      </c>
      <c r="H387" s="1769" t="s">
        <v>1666</v>
      </c>
      <c r="I387" s="1773" t="s">
        <v>194</v>
      </c>
      <c r="J387" s="1754" t="s">
        <v>755</v>
      </c>
      <c r="K387" s="1789"/>
      <c r="L387" s="1791"/>
      <c r="M387" s="1772" t="s">
        <v>194</v>
      </c>
      <c r="N387" s="1754" t="s">
        <v>756</v>
      </c>
      <c r="O387" s="1768"/>
      <c r="P387" s="1768"/>
      <c r="Q387" s="1789"/>
      <c r="R387" s="1768"/>
      <c r="S387" s="1768"/>
      <c r="T387" s="1768"/>
      <c r="U387" s="1768"/>
      <c r="V387" s="1768"/>
      <c r="W387" s="1768"/>
      <c r="X387" s="1767"/>
      <c r="Y387" s="1914"/>
      <c r="Z387" s="1913"/>
      <c r="AA387" s="1913"/>
      <c r="AB387" s="1794"/>
      <c r="AC387" s="1954"/>
      <c r="AD387" s="1954"/>
      <c r="AE387" s="1954"/>
      <c r="AF387" s="1954"/>
      <c r="AI387" s="1735" t="str">
        <f>"23:sougei_code:" &amp; IF(I387="■",1,IF(M387="■",2,0))</f>
        <v>23:sougei_code:0</v>
      </c>
    </row>
    <row r="388" spans="1:36" s="1735" customFormat="1" ht="19.5" hidden="1" customHeight="1">
      <c r="A388" s="1766"/>
      <c r="B388" s="1765"/>
      <c r="C388" s="1764"/>
      <c r="D388" s="1763"/>
      <c r="E388" s="1793"/>
      <c r="F388" s="1763"/>
      <c r="G388" s="1762" t="s">
        <v>1685</v>
      </c>
      <c r="H388" s="1792" t="s">
        <v>1516</v>
      </c>
      <c r="I388" s="1773" t="s">
        <v>194</v>
      </c>
      <c r="J388" s="1754" t="s">
        <v>750</v>
      </c>
      <c r="K388" s="1754"/>
      <c r="L388" s="1772" t="s">
        <v>194</v>
      </c>
      <c r="M388" s="1754" t="s">
        <v>764</v>
      </c>
      <c r="N388" s="1754"/>
      <c r="O388" s="1768"/>
      <c r="P388" s="1754"/>
      <c r="Q388" s="1768"/>
      <c r="R388" s="1768"/>
      <c r="S388" s="1768"/>
      <c r="T388" s="1768"/>
      <c r="U388" s="1768"/>
      <c r="V388" s="1768"/>
      <c r="W388" s="1768"/>
      <c r="X388" s="1767"/>
      <c r="Y388" s="1913"/>
      <c r="Z388" s="1913"/>
      <c r="AA388" s="1913"/>
      <c r="AB388" s="1794"/>
      <c r="AC388" s="1954"/>
      <c r="AD388" s="1954"/>
      <c r="AE388" s="1954"/>
      <c r="AF388" s="1954"/>
      <c r="AI388" s="1735" t="str">
        <f>"23:field224:" &amp; IF(I388="■",1,IF(L388="■",2,0))</f>
        <v>23:field224:0</v>
      </c>
    </row>
    <row r="389" spans="1:36" s="1735" customFormat="1" ht="18.75" hidden="1" customHeight="1">
      <c r="A389" s="1776" t="s">
        <v>194</v>
      </c>
      <c r="B389" s="1765">
        <v>23</v>
      </c>
      <c r="C389" s="1764" t="s">
        <v>1668</v>
      </c>
      <c r="D389" s="1878" t="s">
        <v>194</v>
      </c>
      <c r="E389" s="1793" t="s">
        <v>1684</v>
      </c>
      <c r="F389" s="1878" t="s">
        <v>194</v>
      </c>
      <c r="G389" s="1762" t="s">
        <v>1683</v>
      </c>
      <c r="H389" s="1769" t="s">
        <v>787</v>
      </c>
      <c r="I389" s="1773" t="s">
        <v>194</v>
      </c>
      <c r="J389" s="1754" t="s">
        <v>750</v>
      </c>
      <c r="K389" s="1789"/>
      <c r="L389" s="1772" t="s">
        <v>194</v>
      </c>
      <c r="M389" s="1754" t="s">
        <v>764</v>
      </c>
      <c r="N389" s="1768"/>
      <c r="O389" s="1768"/>
      <c r="P389" s="1768"/>
      <c r="Q389" s="1789"/>
      <c r="R389" s="1768"/>
      <c r="S389" s="1768"/>
      <c r="T389" s="1768"/>
      <c r="U389" s="1768"/>
      <c r="V389" s="1768"/>
      <c r="W389" s="1768"/>
      <c r="X389" s="1767"/>
      <c r="Y389" s="1914"/>
      <c r="Z389" s="1913"/>
      <c r="AA389" s="1913"/>
      <c r="AB389" s="1794"/>
      <c r="AC389" s="1954"/>
      <c r="AD389" s="1954"/>
      <c r="AE389" s="1954"/>
      <c r="AF389" s="1954"/>
      <c r="AI389" s="1735" t="str">
        <f>"23:ryouyoushoku_code:" &amp; IF(I389="■",1,IF(L389="■",2,0))</f>
        <v>23:ryouyoushoku_code:0</v>
      </c>
    </row>
    <row r="390" spans="1:36" s="1735" customFormat="1" ht="18.75" hidden="1" customHeight="1">
      <c r="A390" s="1766"/>
      <c r="B390" s="1765"/>
      <c r="C390" s="1764"/>
      <c r="D390" s="1734"/>
      <c r="E390" s="1793"/>
      <c r="F390" s="1763"/>
      <c r="G390" s="1762" t="s">
        <v>1682</v>
      </c>
      <c r="H390" s="1769" t="s">
        <v>1681</v>
      </c>
      <c r="I390" s="1773" t="s">
        <v>194</v>
      </c>
      <c r="J390" s="1754" t="s">
        <v>750</v>
      </c>
      <c r="K390" s="1754"/>
      <c r="L390" s="1772" t="s">
        <v>194</v>
      </c>
      <c r="M390" s="1754" t="s">
        <v>784</v>
      </c>
      <c r="N390" s="1754"/>
      <c r="O390" s="1772" t="s">
        <v>194</v>
      </c>
      <c r="P390" s="1754" t="s">
        <v>785</v>
      </c>
      <c r="Q390" s="1768"/>
      <c r="R390" s="1768"/>
      <c r="S390" s="1768"/>
      <c r="T390" s="1768"/>
      <c r="U390" s="1768"/>
      <c r="V390" s="1768"/>
      <c r="W390" s="1768"/>
      <c r="X390" s="1767"/>
      <c r="Y390" s="1914"/>
      <c r="Z390" s="1913"/>
      <c r="AA390" s="1913"/>
      <c r="AB390" s="1794"/>
      <c r="AC390" s="1954"/>
      <c r="AD390" s="1954"/>
      <c r="AE390" s="1954"/>
      <c r="AF390" s="1954"/>
      <c r="AI390" s="1735" t="str">
        <f>"23:ninti_senmoncare_code:" &amp; IF(I390="■",1,IF(O390="■",3,IF(L390="■",2,0)))</f>
        <v>23:ninti_senmoncare_code:0</v>
      </c>
    </row>
    <row r="391" spans="1:36" s="1735" customFormat="1" ht="18.75" hidden="1" customHeight="1">
      <c r="A391" s="1766"/>
      <c r="B391" s="1765"/>
      <c r="C391" s="1764"/>
      <c r="D391" s="1763"/>
      <c r="E391" s="1793"/>
      <c r="F391" s="1878" t="s">
        <v>194</v>
      </c>
      <c r="G391" s="1762" t="s">
        <v>1680</v>
      </c>
      <c r="H391" s="1917" t="s">
        <v>794</v>
      </c>
      <c r="I391" s="1773" t="s">
        <v>194</v>
      </c>
      <c r="J391" s="1754" t="s">
        <v>750</v>
      </c>
      <c r="K391" s="1754"/>
      <c r="L391" s="1772" t="s">
        <v>194</v>
      </c>
      <c r="M391" s="1754" t="s">
        <v>784</v>
      </c>
      <c r="N391" s="1754"/>
      <c r="O391" s="1772" t="s">
        <v>194</v>
      </c>
      <c r="P391" s="1754" t="s">
        <v>785</v>
      </c>
      <c r="Q391" s="1768"/>
      <c r="R391" s="1768"/>
      <c r="S391" s="1768"/>
      <c r="T391" s="1768"/>
      <c r="U391" s="1829"/>
      <c r="V391" s="1829"/>
      <c r="W391" s="1829"/>
      <c r="X391" s="1828"/>
      <c r="Y391" s="1914"/>
      <c r="Z391" s="1913"/>
      <c r="AA391" s="1913"/>
      <c r="AB391" s="1794"/>
      <c r="AC391" s="1954"/>
      <c r="AD391" s="1954"/>
      <c r="AE391" s="1954"/>
      <c r="AF391" s="1954"/>
      <c r="AI391" s="1735" t="str">
        <f>"23:field225:" &amp; IF(I391="■",1,IF(L391="■",2,IF(O391="■",3,0)))</f>
        <v>23:field225:0</v>
      </c>
    </row>
    <row r="392" spans="1:36" s="1735" customFormat="1" ht="18.75" hidden="1" customHeight="1">
      <c r="A392" s="1766"/>
      <c r="B392" s="1765"/>
      <c r="C392" s="1764"/>
      <c r="D392" s="1763"/>
      <c r="E392" s="1793"/>
      <c r="F392" s="1763"/>
      <c r="G392" s="1762" t="s">
        <v>1679</v>
      </c>
      <c r="H392" s="1925" t="s">
        <v>1678</v>
      </c>
      <c r="I392" s="1924" t="s">
        <v>194</v>
      </c>
      <c r="J392" s="1923" t="s">
        <v>1589</v>
      </c>
      <c r="K392" s="1923"/>
      <c r="L392" s="1829"/>
      <c r="M392" s="1829"/>
      <c r="N392" s="1829"/>
      <c r="O392" s="1829"/>
      <c r="P392" s="1922" t="s">
        <v>194</v>
      </c>
      <c r="Q392" s="1923" t="s">
        <v>1588</v>
      </c>
      <c r="R392" s="1829"/>
      <c r="S392" s="1829"/>
      <c r="T392" s="1829"/>
      <c r="U392" s="1829"/>
      <c r="V392" s="1829"/>
      <c r="W392" s="1829"/>
      <c r="X392" s="1828"/>
      <c r="Y392" s="1914"/>
      <c r="Z392" s="1913"/>
      <c r="AA392" s="1913"/>
      <c r="AB392" s="1794"/>
      <c r="AC392" s="1954"/>
      <c r="AD392" s="1954"/>
      <c r="AE392" s="1954"/>
      <c r="AF392" s="1954"/>
      <c r="AI392" s="1735" t="str">
        <f>"23:" &amp; IF(AND(I392="□",P392="□",I393="□"),"tokusin_jyusho_code:0:tokusin_yakuzai_code:0:shuudan_comu_code:0",IF(I392="■","tokusin_jyusho_code:2","tokusin_jyusho_code:1")
&amp;IF(P392="■",":tokusin_yakuzai_code:2",":tokusin_yakuzai_code:1")
&amp;IF(I393="■",":shuudan_comu_code:2",":shuudan_comu_code:1"))</f>
        <v>23:tokusin_jyusho_code:0:tokusin_yakuzai_code:0:shuudan_comu_code:0</v>
      </c>
    </row>
    <row r="393" spans="1:36" s="1735" customFormat="1" ht="18.75" hidden="1" customHeight="1">
      <c r="A393" s="1766"/>
      <c r="B393" s="1765"/>
      <c r="C393" s="1764"/>
      <c r="D393" s="1763"/>
      <c r="E393" s="1793"/>
      <c r="F393" s="1763"/>
      <c r="G393" s="1762"/>
      <c r="H393" s="1921"/>
      <c r="I393" s="1758" t="s">
        <v>194</v>
      </c>
      <c r="J393" s="1756" t="s">
        <v>1585</v>
      </c>
      <c r="K393" s="1827"/>
      <c r="L393" s="1827"/>
      <c r="M393" s="1827"/>
      <c r="N393" s="1827"/>
      <c r="O393" s="1827"/>
      <c r="P393" s="1827"/>
      <c r="Q393" s="1780"/>
      <c r="R393" s="1827"/>
      <c r="S393" s="1827"/>
      <c r="T393" s="1827"/>
      <c r="U393" s="1827"/>
      <c r="V393" s="1827"/>
      <c r="W393" s="1827"/>
      <c r="X393" s="1826"/>
      <c r="Y393" s="1914"/>
      <c r="Z393" s="1913"/>
      <c r="AA393" s="1913"/>
      <c r="AB393" s="1794"/>
      <c r="AC393" s="1954"/>
      <c r="AD393" s="1954"/>
      <c r="AE393" s="1954"/>
      <c r="AF393" s="1954"/>
    </row>
    <row r="394" spans="1:36" s="1735" customFormat="1" ht="18.75" hidden="1" customHeight="1">
      <c r="A394" s="1766"/>
      <c r="B394" s="1765"/>
      <c r="C394" s="1764"/>
      <c r="D394" s="1763"/>
      <c r="E394" s="1793"/>
      <c r="F394" s="1763"/>
      <c r="G394" s="1762"/>
      <c r="H394" s="1925" t="s">
        <v>1677</v>
      </c>
      <c r="I394" s="1924" t="s">
        <v>194</v>
      </c>
      <c r="J394" s="1923" t="s">
        <v>1583</v>
      </c>
      <c r="K394" s="1938"/>
      <c r="L394" s="1937"/>
      <c r="M394" s="1922" t="s">
        <v>194</v>
      </c>
      <c r="N394" s="1923" t="s">
        <v>1582</v>
      </c>
      <c r="O394" s="1829"/>
      <c r="P394" s="1829"/>
      <c r="Q394" s="1922" t="s">
        <v>194</v>
      </c>
      <c r="R394" s="1923" t="s">
        <v>1581</v>
      </c>
      <c r="S394" s="1829"/>
      <c r="T394" s="1829"/>
      <c r="U394" s="1829"/>
      <c r="V394" s="1829"/>
      <c r="W394" s="1829"/>
      <c r="X394" s="1828"/>
      <c r="Y394" s="1914"/>
      <c r="Z394" s="1913"/>
      <c r="AA394" s="1913"/>
      <c r="AB394" s="1794"/>
      <c r="AC394" s="1954"/>
      <c r="AD394" s="1954"/>
      <c r="AE394" s="1954"/>
      <c r="AF394" s="1954"/>
      <c r="AI394" s="1735" t="str">
        <f>"23:"&amp;IF(AND(I394="□",M394="□",Q394="□",I395="□",Q395="□"),"koriha_rryoho1_code:0:koriha_sryoho_code:0:koriha_gengo_code=::riha_seisin_code:0:koriha_other_code:0",IF(I394="■","koriha_rryoho1_code:2","koriha_rryoho1_code:1")
&amp;IF(M394="■",":koriha_sryoho_code:2",":koriha_sryoho_code:1")
&amp;IF(Q394="■",":koriha_gengo_code:2",":koriha_gengo_code:1")
&amp;IF(I395="■",":riha_seisin_code:2",":riha_seisin_code:1")
&amp;IF(Q395="■",":koriha_other_code:2",":koriha_other_code:1"))</f>
        <v>23:koriha_rryoho1_code:0:koriha_sryoho_code:0:koriha_gengo_code=::riha_seisin_code:0:koriha_other_code:0</v>
      </c>
    </row>
    <row r="395" spans="1:36" s="1735" customFormat="1" ht="18.75" hidden="1" customHeight="1">
      <c r="A395" s="1766"/>
      <c r="B395" s="1765"/>
      <c r="C395" s="1764"/>
      <c r="D395" s="1763"/>
      <c r="E395" s="1793"/>
      <c r="F395" s="1763"/>
      <c r="G395" s="1762"/>
      <c r="H395" s="1921"/>
      <c r="I395" s="1758" t="s">
        <v>194</v>
      </c>
      <c r="J395" s="1756" t="s">
        <v>1580</v>
      </c>
      <c r="K395" s="1827"/>
      <c r="L395" s="1827"/>
      <c r="M395" s="1827"/>
      <c r="N395" s="1827"/>
      <c r="O395" s="1827"/>
      <c r="P395" s="1827"/>
      <c r="Q395" s="1757" t="s">
        <v>194</v>
      </c>
      <c r="R395" s="1756" t="s">
        <v>1579</v>
      </c>
      <c r="S395" s="1780"/>
      <c r="T395" s="1827"/>
      <c r="U395" s="1827"/>
      <c r="V395" s="1827"/>
      <c r="W395" s="1827"/>
      <c r="X395" s="1826"/>
      <c r="Y395" s="1914"/>
      <c r="Z395" s="1913"/>
      <c r="AA395" s="1913"/>
      <c r="AB395" s="1794"/>
      <c r="AC395" s="1954"/>
      <c r="AD395" s="1954"/>
      <c r="AE395" s="1954"/>
      <c r="AF395" s="1954"/>
    </row>
    <row r="396" spans="1:36" s="1735" customFormat="1" ht="18.75" hidden="1" customHeight="1">
      <c r="A396" s="1766"/>
      <c r="B396" s="1765"/>
      <c r="C396" s="1764"/>
      <c r="D396" s="1763"/>
      <c r="E396" s="1793"/>
      <c r="F396" s="1763"/>
      <c r="G396" s="1762"/>
      <c r="H396" s="1777" t="s">
        <v>795</v>
      </c>
      <c r="I396" s="1773" t="s">
        <v>194</v>
      </c>
      <c r="J396" s="1754" t="s">
        <v>750</v>
      </c>
      <c r="K396" s="1754"/>
      <c r="L396" s="1772" t="s">
        <v>194</v>
      </c>
      <c r="M396" s="1754" t="s">
        <v>796</v>
      </c>
      <c r="N396" s="1754"/>
      <c r="O396" s="1772" t="s">
        <v>194</v>
      </c>
      <c r="P396" s="1754" t="s">
        <v>797</v>
      </c>
      <c r="Q396" s="1771"/>
      <c r="R396" s="1772" t="s">
        <v>194</v>
      </c>
      <c r="S396" s="1754" t="s">
        <v>798</v>
      </c>
      <c r="T396" s="1771"/>
      <c r="U396" s="1771"/>
      <c r="V396" s="1771"/>
      <c r="W396" s="1771"/>
      <c r="X396" s="1770"/>
      <c r="Y396" s="1914"/>
      <c r="Z396" s="1913"/>
      <c r="AA396" s="1913"/>
      <c r="AB396" s="1794"/>
      <c r="AC396" s="1954"/>
      <c r="AD396" s="1954"/>
      <c r="AE396" s="1954"/>
      <c r="AF396" s="1954"/>
      <c r="AI396" s="1735" t="str">
        <f>"23:serteikyo_kyoka_code:" &amp; IF(I396="■",1,IF(L396="■",6,IF(O396="■",5,IF(R396="■",7,0))))</f>
        <v>23:serteikyo_kyoka_code:0</v>
      </c>
    </row>
    <row r="397" spans="1:36" s="1735" customFormat="1" ht="18.75" hidden="1" customHeight="1">
      <c r="A397" s="1766"/>
      <c r="B397" s="1765"/>
      <c r="C397" s="1764"/>
      <c r="D397" s="1763"/>
      <c r="E397" s="1793"/>
      <c r="F397" s="1763"/>
      <c r="G397" s="1762"/>
      <c r="H397" s="1788" t="s">
        <v>1665</v>
      </c>
      <c r="I397" s="1969" t="s">
        <v>194</v>
      </c>
      <c r="J397" s="1968" t="s">
        <v>750</v>
      </c>
      <c r="K397" s="1968"/>
      <c r="L397" s="1967" t="s">
        <v>194</v>
      </c>
      <c r="M397" s="1968" t="s">
        <v>764</v>
      </c>
      <c r="N397" s="1968"/>
      <c r="O397" s="1923"/>
      <c r="P397" s="1923"/>
      <c r="Q397" s="1923"/>
      <c r="R397" s="1923"/>
      <c r="S397" s="1923"/>
      <c r="T397" s="1923"/>
      <c r="U397" s="1923"/>
      <c r="V397" s="1923"/>
      <c r="W397" s="1923"/>
      <c r="X397" s="1956"/>
      <c r="Y397" s="1914"/>
      <c r="Z397" s="1913"/>
      <c r="AA397" s="1913"/>
      <c r="AB397" s="1794"/>
      <c r="AC397" s="1954"/>
      <c r="AD397" s="1954"/>
      <c r="AE397" s="1954"/>
      <c r="AF397" s="1954"/>
      <c r="AI397" s="1735" t="str">
        <f>"23:field221:" &amp; IF(I397="■",1,IF(L397="■",2,0))</f>
        <v>23:field221:0</v>
      </c>
    </row>
    <row r="398" spans="1:36" s="1735" customFormat="1" ht="18.75" hidden="1" customHeight="1">
      <c r="A398" s="1766"/>
      <c r="B398" s="1765"/>
      <c r="C398" s="1764"/>
      <c r="D398" s="1763"/>
      <c r="E398" s="1793"/>
      <c r="F398" s="1763"/>
      <c r="G398" s="1762"/>
      <c r="H398" s="1783"/>
      <c r="I398" s="1969"/>
      <c r="J398" s="1968"/>
      <c r="K398" s="1968"/>
      <c r="L398" s="1967"/>
      <c r="M398" s="1968"/>
      <c r="N398" s="1968"/>
      <c r="O398" s="1756"/>
      <c r="P398" s="1756"/>
      <c r="Q398" s="1756"/>
      <c r="R398" s="1756"/>
      <c r="S398" s="1756"/>
      <c r="T398" s="1756"/>
      <c r="U398" s="1756"/>
      <c r="V398" s="1756"/>
      <c r="W398" s="1756"/>
      <c r="X398" s="1814"/>
      <c r="Y398" s="1914"/>
      <c r="Z398" s="1913"/>
      <c r="AA398" s="1913"/>
      <c r="AB398" s="1794"/>
      <c r="AC398" s="1954"/>
      <c r="AD398" s="1954"/>
      <c r="AE398" s="1954"/>
      <c r="AF398" s="1954"/>
    </row>
    <row r="399" spans="1:36" s="1735" customFormat="1" ht="18.75" hidden="1" customHeight="1">
      <c r="A399" s="1766"/>
      <c r="B399" s="1765"/>
      <c r="C399" s="1764"/>
      <c r="D399" s="1763"/>
      <c r="E399" s="1762"/>
      <c r="F399" s="1761"/>
      <c r="G399" s="1793"/>
      <c r="H399" s="1952" t="s">
        <v>1553</v>
      </c>
      <c r="I399" s="1924" t="s">
        <v>194</v>
      </c>
      <c r="J399" s="1948" t="s">
        <v>750</v>
      </c>
      <c r="K399" s="1948"/>
      <c r="L399" s="1922" t="s">
        <v>194</v>
      </c>
      <c r="M399" s="1948" t="s">
        <v>1552</v>
      </c>
      <c r="N399" s="1951"/>
      <c r="O399" s="1922" t="s">
        <v>194</v>
      </c>
      <c r="P399" s="1950" t="s">
        <v>1551</v>
      </c>
      <c r="Q399" s="1949"/>
      <c r="R399" s="1922" t="s">
        <v>194</v>
      </c>
      <c r="S399" s="1948" t="s">
        <v>1550</v>
      </c>
      <c r="T399" s="1949"/>
      <c r="U399" s="1922" t="s">
        <v>194</v>
      </c>
      <c r="V399" s="1948" t="s">
        <v>1549</v>
      </c>
      <c r="W399" s="1947"/>
      <c r="X399" s="1946"/>
      <c r="Y399" s="1913"/>
      <c r="Z399" s="1913"/>
      <c r="AA399" s="1913"/>
      <c r="AB399" s="1794"/>
      <c r="AC399" s="1954"/>
      <c r="AD399" s="1954"/>
      <c r="AE399" s="1954"/>
      <c r="AF399" s="1954"/>
      <c r="AI399" s="1735" t="str">
        <f>"23:shoguukaizen_code:"&amp;IF(I399="■",1,IF(L399="■",7,IF(O399="■",8,IF(R399="■",9,IF(U399="■","A",0)))))</f>
        <v>23:shoguukaizen_code:0</v>
      </c>
    </row>
    <row r="400" spans="1:36" s="1735" customFormat="1" ht="18.75" hidden="1" customHeight="1">
      <c r="A400" s="2009"/>
      <c r="B400" s="2008"/>
      <c r="C400" s="1849"/>
      <c r="D400" s="1848"/>
      <c r="E400" s="1802"/>
      <c r="F400" s="1848"/>
      <c r="G400" s="1804"/>
      <c r="H400" s="1885" t="s">
        <v>1676</v>
      </c>
      <c r="I400" s="1873" t="s">
        <v>194</v>
      </c>
      <c r="J400" s="1872" t="s">
        <v>747</v>
      </c>
      <c r="K400" s="1932"/>
      <c r="L400" s="2007"/>
      <c r="M400" s="1931" t="s">
        <v>194</v>
      </c>
      <c r="N400" s="1872" t="s">
        <v>1572</v>
      </c>
      <c r="O400" s="1930"/>
      <c r="P400" s="1930"/>
      <c r="Q400" s="1931" t="s">
        <v>194</v>
      </c>
      <c r="R400" s="1872" t="s">
        <v>1571</v>
      </c>
      <c r="S400" s="1930"/>
      <c r="T400" s="1930"/>
      <c r="U400" s="1931" t="s">
        <v>194</v>
      </c>
      <c r="V400" s="1872" t="s">
        <v>1570</v>
      </c>
      <c r="W400" s="1930"/>
      <c r="X400" s="1886"/>
      <c r="Y400" s="1873" t="s">
        <v>194</v>
      </c>
      <c r="Z400" s="1872" t="s">
        <v>749</v>
      </c>
      <c r="AA400" s="1872"/>
      <c r="AB400" s="1929"/>
      <c r="AC400" s="1959"/>
      <c r="AD400" s="1959"/>
      <c r="AE400" s="1959"/>
      <c r="AF400" s="1959"/>
      <c r="AG400" s="1735" t="str">
        <f>"ser_code = '" &amp; IF(A412="■","2A","") &amp; "'"</f>
        <v>ser_code = ''</v>
      </c>
      <c r="AH400" s="1735" t="str">
        <f>"2A:jininkbn_code:"&amp;IF(F411="■",1,IF(F412="■",2,IF(F413="■",3,0)))</f>
        <v>2A:jininkbn_code:0</v>
      </c>
      <c r="AI400" s="1735" t="str">
        <f>"2A:yakan_kinmu_code:" &amp; IF(I400="■",1,IF(M400="■",2,IF(Q400="■",3,IF(U400="■",7,IF(I401="■",5,IF(M401="■",6,0))))))</f>
        <v>2A:yakan_kinmu_code:0</v>
      </c>
      <c r="AJ400" s="1735" t="str">
        <f>"2A:field203:" &amp; IF(Y400="■",1,IF(Y401="■",2,0))</f>
        <v>2A:field203:0</v>
      </c>
    </row>
    <row r="401" spans="1:35" s="1735" customFormat="1" ht="18.75" hidden="1" customHeight="1">
      <c r="A401" s="2005"/>
      <c r="B401" s="2004"/>
      <c r="C401" s="1764"/>
      <c r="D401" s="1763"/>
      <c r="E401" s="1793"/>
      <c r="F401" s="1763"/>
      <c r="G401" s="1762"/>
      <c r="H401" s="1921"/>
      <c r="I401" s="1758" t="s">
        <v>194</v>
      </c>
      <c r="J401" s="1756" t="s">
        <v>1569</v>
      </c>
      <c r="K401" s="1755"/>
      <c r="L401" s="2006"/>
      <c r="M401" s="1757" t="s">
        <v>194</v>
      </c>
      <c r="N401" s="1756" t="s">
        <v>748</v>
      </c>
      <c r="O401" s="1780"/>
      <c r="P401" s="1780"/>
      <c r="Q401" s="1780"/>
      <c r="R401" s="1780"/>
      <c r="S401" s="1780"/>
      <c r="T401" s="1780"/>
      <c r="U401" s="1780"/>
      <c r="V401" s="1780"/>
      <c r="W401" s="1780"/>
      <c r="X401" s="1779"/>
      <c r="Y401" s="1878" t="s">
        <v>194</v>
      </c>
      <c r="Z401" s="1738" t="s">
        <v>754</v>
      </c>
      <c r="AA401" s="1913"/>
      <c r="AB401" s="1794"/>
      <c r="AC401" s="1970"/>
      <c r="AD401" s="1970"/>
      <c r="AE401" s="1970"/>
      <c r="AF401" s="1970"/>
      <c r="AG401" s="1735" t="str">
        <f>"2A:sisetukbn_code:"&amp;IF(D412="■","1",0)</f>
        <v>2A:sisetukbn_code:0</v>
      </c>
    </row>
    <row r="402" spans="1:35" s="1735" customFormat="1" ht="18.75" hidden="1" customHeight="1">
      <c r="A402" s="2005"/>
      <c r="B402" s="2004"/>
      <c r="C402" s="1764"/>
      <c r="D402" s="1763"/>
      <c r="E402" s="1793"/>
      <c r="F402" s="1763"/>
      <c r="G402" s="1762"/>
      <c r="H402" s="1925" t="s">
        <v>98</v>
      </c>
      <c r="I402" s="1924" t="s">
        <v>194</v>
      </c>
      <c r="J402" s="1923" t="s">
        <v>750</v>
      </c>
      <c r="K402" s="1923"/>
      <c r="L402" s="1937"/>
      <c r="M402" s="1922" t="s">
        <v>194</v>
      </c>
      <c r="N402" s="1923" t="s">
        <v>1568</v>
      </c>
      <c r="O402" s="1923"/>
      <c r="P402" s="1937"/>
      <c r="Q402" s="1922" t="s">
        <v>194</v>
      </c>
      <c r="R402" s="1785" t="s">
        <v>1567</v>
      </c>
      <c r="S402" s="1785"/>
      <c r="T402" s="1785"/>
      <c r="U402" s="1829"/>
      <c r="V402" s="1937"/>
      <c r="W402" s="1785"/>
      <c r="X402" s="1828"/>
      <c r="Y402" s="1914"/>
      <c r="Z402" s="1913"/>
      <c r="AA402" s="1913"/>
      <c r="AB402" s="1794"/>
      <c r="AC402" s="1954"/>
      <c r="AD402" s="1954"/>
      <c r="AE402" s="1954"/>
      <c r="AF402" s="1954"/>
      <c r="AI402" s="1735" t="str">
        <f>"2A:"&amp;IF(AND(I402="□",M402="□",Q402="□",I403="□",M403="□"),"ketu_doctor_code:0",IF(I402="■","ketu_doctor_code:1:field197:1:ketu_kangos_code:1:ketu_kshoku_code:1",IF(M402="■","ketu_doctor_code:2","ketu_doctor_code:1")
&amp;IF(Q402="■",":field197:2",":field197:1")
&amp;IF(I403="■",":ketu_kangos_code:2",":ketu_kangos_code:1")
&amp;IF(M403="■",":ketu_kshoku_code:2",":ketu_kshoku_code:1")))</f>
        <v>2A:ketu_doctor_code:0</v>
      </c>
    </row>
    <row r="403" spans="1:35" s="1735" customFormat="1" ht="18.75" hidden="1" customHeight="1">
      <c r="A403" s="2005"/>
      <c r="B403" s="2004"/>
      <c r="C403" s="1764"/>
      <c r="D403" s="1763"/>
      <c r="E403" s="1793"/>
      <c r="F403" s="1763"/>
      <c r="G403" s="1762"/>
      <c r="H403" s="1921"/>
      <c r="I403" s="1758" t="s">
        <v>194</v>
      </c>
      <c r="J403" s="1780" t="s">
        <v>1566</v>
      </c>
      <c r="K403" s="1780"/>
      <c r="L403" s="1780"/>
      <c r="M403" s="1757" t="s">
        <v>194</v>
      </c>
      <c r="N403" s="1780" t="s">
        <v>1565</v>
      </c>
      <c r="O403" s="2006"/>
      <c r="P403" s="1780"/>
      <c r="Q403" s="1780"/>
      <c r="R403" s="2006"/>
      <c r="S403" s="1780"/>
      <c r="T403" s="1780"/>
      <c r="U403" s="1827"/>
      <c r="V403" s="2006"/>
      <c r="W403" s="1780"/>
      <c r="X403" s="1826"/>
      <c r="Y403" s="1914"/>
      <c r="Z403" s="1913"/>
      <c r="AA403" s="1913"/>
      <c r="AB403" s="1794"/>
      <c r="AC403" s="1954"/>
      <c r="AD403" s="1954"/>
      <c r="AE403" s="1954"/>
      <c r="AF403" s="1954"/>
    </row>
    <row r="404" spans="1:35" s="1735" customFormat="1" ht="18.75" hidden="1" customHeight="1">
      <c r="A404" s="1766"/>
      <c r="B404" s="1765"/>
      <c r="C404" s="1916"/>
      <c r="D404" s="1915"/>
      <c r="E404" s="1762"/>
      <c r="F404" s="1761"/>
      <c r="G404" s="1793"/>
      <c r="H404" s="2002" t="s">
        <v>757</v>
      </c>
      <c r="I404" s="1842" t="s">
        <v>194</v>
      </c>
      <c r="J404" s="1837" t="s">
        <v>758</v>
      </c>
      <c r="K404" s="1841"/>
      <c r="L404" s="1840"/>
      <c r="M404" s="1839" t="s">
        <v>194</v>
      </c>
      <c r="N404" s="1837" t="s">
        <v>759</v>
      </c>
      <c r="O404" s="1841"/>
      <c r="P404" s="2001"/>
      <c r="Q404" s="2001"/>
      <c r="R404" s="2001"/>
      <c r="S404" s="2001"/>
      <c r="T404" s="2001"/>
      <c r="U404" s="2001"/>
      <c r="V404" s="2001"/>
      <c r="W404" s="2001"/>
      <c r="X404" s="2000"/>
      <c r="Y404" s="1914"/>
      <c r="Z404" s="1913"/>
      <c r="AA404" s="1913"/>
      <c r="AB404" s="1794"/>
      <c r="AC404" s="1954"/>
      <c r="AD404" s="1954"/>
      <c r="AE404" s="1954"/>
      <c r="AF404" s="1954"/>
      <c r="AI404" s="1735" t="str">
        <f>"2A:sintaikousoku_code:" &amp; IF(I404="■",1,IF(M404="■",2,0))</f>
        <v>2A:sintaikousoku_code:0</v>
      </c>
    </row>
    <row r="405" spans="1:35" s="1735" customFormat="1" ht="19.5" hidden="1" customHeight="1">
      <c r="A405" s="1766"/>
      <c r="B405" s="1765"/>
      <c r="C405" s="1764"/>
      <c r="D405" s="1763"/>
      <c r="E405" s="1762"/>
      <c r="F405" s="1761"/>
      <c r="G405" s="1793"/>
      <c r="H405" s="1792" t="s">
        <v>760</v>
      </c>
      <c r="I405" s="1773" t="s">
        <v>194</v>
      </c>
      <c r="J405" s="1754" t="s">
        <v>758</v>
      </c>
      <c r="K405" s="1789"/>
      <c r="L405" s="1791"/>
      <c r="M405" s="1772" t="s">
        <v>194</v>
      </c>
      <c r="N405" s="1754" t="s">
        <v>761</v>
      </c>
      <c r="O405" s="1920"/>
      <c r="P405" s="1754"/>
      <c r="Q405" s="1768"/>
      <c r="R405" s="1768"/>
      <c r="S405" s="1768"/>
      <c r="T405" s="1768"/>
      <c r="U405" s="1768"/>
      <c r="V405" s="1768"/>
      <c r="W405" s="1768"/>
      <c r="X405" s="1767"/>
      <c r="Y405" s="1913"/>
      <c r="Z405" s="1913"/>
      <c r="AA405" s="1913"/>
      <c r="AB405" s="1794"/>
      <c r="AC405" s="1954"/>
      <c r="AD405" s="1954"/>
      <c r="AE405" s="1954"/>
      <c r="AF405" s="1954"/>
      <c r="AI405" s="1735" t="str">
        <f>"2A:field223:" &amp; IF(I405="■",1,IF(M405="■",2,0))</f>
        <v>2A:field223:0</v>
      </c>
    </row>
    <row r="406" spans="1:35" s="1735" customFormat="1" ht="19.5" hidden="1" customHeight="1">
      <c r="A406" s="1766"/>
      <c r="B406" s="1765"/>
      <c r="C406" s="1764"/>
      <c r="D406" s="1763"/>
      <c r="E406" s="1762"/>
      <c r="F406" s="1761"/>
      <c r="G406" s="1793"/>
      <c r="H406" s="1792" t="s">
        <v>762</v>
      </c>
      <c r="I406" s="1773" t="s">
        <v>194</v>
      </c>
      <c r="J406" s="1754" t="s">
        <v>758</v>
      </c>
      <c r="K406" s="1789"/>
      <c r="L406" s="1791"/>
      <c r="M406" s="1772" t="s">
        <v>194</v>
      </c>
      <c r="N406" s="1754" t="s">
        <v>761</v>
      </c>
      <c r="O406" s="1920"/>
      <c r="P406" s="1754"/>
      <c r="Q406" s="1768"/>
      <c r="R406" s="1768"/>
      <c r="S406" s="1768"/>
      <c r="T406" s="1768"/>
      <c r="U406" s="1768"/>
      <c r="V406" s="1768"/>
      <c r="W406" s="1768"/>
      <c r="X406" s="1767"/>
      <c r="Y406" s="1913"/>
      <c r="Z406" s="1913"/>
      <c r="AA406" s="1913"/>
      <c r="AB406" s="1794"/>
      <c r="AC406" s="1954"/>
      <c r="AD406" s="1954"/>
      <c r="AE406" s="1954"/>
      <c r="AF406" s="1954"/>
      <c r="AI406" s="1735" t="str">
        <f>"2A:field232:" &amp; IF(I406="■",1,IF(M406="■",2,0))</f>
        <v>2A:field232:0</v>
      </c>
    </row>
    <row r="407" spans="1:35" s="1735" customFormat="1" ht="18.75" hidden="1" customHeight="1">
      <c r="A407" s="2005"/>
      <c r="B407" s="2004"/>
      <c r="C407" s="1764"/>
      <c r="D407" s="1763"/>
      <c r="E407" s="1793"/>
      <c r="F407" s="1763"/>
      <c r="G407" s="1762"/>
      <c r="H407" s="1769" t="s">
        <v>1560</v>
      </c>
      <c r="I407" s="1773" t="s">
        <v>194</v>
      </c>
      <c r="J407" s="1754" t="s">
        <v>747</v>
      </c>
      <c r="K407" s="1789"/>
      <c r="L407" s="1791"/>
      <c r="M407" s="1772" t="s">
        <v>194</v>
      </c>
      <c r="N407" s="1754" t="s">
        <v>1556</v>
      </c>
      <c r="O407" s="1768"/>
      <c r="P407" s="1768"/>
      <c r="Q407" s="1768"/>
      <c r="R407" s="1768"/>
      <c r="S407" s="1768"/>
      <c r="T407" s="1768"/>
      <c r="U407" s="1768"/>
      <c r="V407" s="1768"/>
      <c r="W407" s="1768"/>
      <c r="X407" s="1767"/>
      <c r="Y407" s="1914"/>
      <c r="Z407" s="1913"/>
      <c r="AA407" s="1913"/>
      <c r="AB407" s="1794"/>
      <c r="AC407" s="1954"/>
      <c r="AD407" s="1954"/>
      <c r="AE407" s="1954"/>
      <c r="AF407" s="1954"/>
      <c r="AI407" s="1735" t="str">
        <f>"2A:field190:" &amp; IF(I407="■",1,IF(M407="■",2,0))</f>
        <v>2A:field190:0</v>
      </c>
    </row>
    <row r="408" spans="1:35" s="1735" customFormat="1" ht="18.75" hidden="1" customHeight="1">
      <c r="A408" s="2005"/>
      <c r="B408" s="2004"/>
      <c r="C408" s="1764"/>
      <c r="D408" s="1763"/>
      <c r="E408" s="1793"/>
      <c r="F408" s="1763"/>
      <c r="G408" s="1762"/>
      <c r="H408" s="1769" t="s">
        <v>1558</v>
      </c>
      <c r="I408" s="1773" t="s">
        <v>194</v>
      </c>
      <c r="J408" s="1754" t="s">
        <v>747</v>
      </c>
      <c r="K408" s="1789"/>
      <c r="L408" s="1791"/>
      <c r="M408" s="1772" t="s">
        <v>194</v>
      </c>
      <c r="N408" s="1754" t="s">
        <v>1556</v>
      </c>
      <c r="O408" s="1768"/>
      <c r="P408" s="1768"/>
      <c r="Q408" s="1768"/>
      <c r="R408" s="1768"/>
      <c r="S408" s="1768"/>
      <c r="T408" s="1768"/>
      <c r="U408" s="1768"/>
      <c r="V408" s="1768"/>
      <c r="W408" s="1768"/>
      <c r="X408" s="1767"/>
      <c r="Y408" s="1914"/>
      <c r="Z408" s="1913"/>
      <c r="AA408" s="1913"/>
      <c r="AB408" s="1794"/>
      <c r="AC408" s="1954"/>
      <c r="AD408" s="1954"/>
      <c r="AE408" s="1954"/>
      <c r="AF408" s="1954"/>
      <c r="AI408" s="1735" t="str">
        <f>"2A:field191:" &amp; IF(I408="■",1,IF(M408="■",2,0))</f>
        <v>2A:field191:0</v>
      </c>
    </row>
    <row r="409" spans="1:35" s="1735" customFormat="1" ht="18.75" hidden="1" customHeight="1">
      <c r="A409" s="2005"/>
      <c r="B409" s="2004"/>
      <c r="C409" s="1764"/>
      <c r="D409" s="1763"/>
      <c r="E409" s="1793"/>
      <c r="F409" s="1763"/>
      <c r="G409" s="1762"/>
      <c r="H409" s="1769" t="s">
        <v>1498</v>
      </c>
      <c r="I409" s="1773" t="s">
        <v>194</v>
      </c>
      <c r="J409" s="1754" t="s">
        <v>750</v>
      </c>
      <c r="K409" s="1789"/>
      <c r="L409" s="1772" t="s">
        <v>194</v>
      </c>
      <c r="M409" s="1754" t="s">
        <v>764</v>
      </c>
      <c r="N409" s="1768"/>
      <c r="O409" s="1768"/>
      <c r="P409" s="1768"/>
      <c r="Q409" s="1789"/>
      <c r="R409" s="1768"/>
      <c r="S409" s="1768"/>
      <c r="T409" s="1768"/>
      <c r="U409" s="1768"/>
      <c r="V409" s="1768"/>
      <c r="W409" s="1768"/>
      <c r="X409" s="1767"/>
      <c r="Y409" s="1914"/>
      <c r="Z409" s="1913"/>
      <c r="AA409" s="1913"/>
      <c r="AB409" s="1794"/>
      <c r="AC409" s="1954"/>
      <c r="AD409" s="1954"/>
      <c r="AE409" s="1954"/>
      <c r="AF409" s="1954"/>
      <c r="AI409" s="1735" t="str">
        <f>"2A:jyakuninti_uke_code:" &amp; IF(I409="■",1,IF(L409="■",2,0))</f>
        <v>2A:jyakuninti_uke_code:0</v>
      </c>
    </row>
    <row r="410" spans="1:35" s="1735" customFormat="1" ht="18.75" hidden="1" customHeight="1">
      <c r="A410" s="2005"/>
      <c r="B410" s="2004"/>
      <c r="C410" s="1764"/>
      <c r="D410" s="1763"/>
      <c r="E410" s="1793"/>
      <c r="F410" s="1763"/>
      <c r="G410" s="1762"/>
      <c r="H410" s="1769" t="s">
        <v>1675</v>
      </c>
      <c r="I410" s="1773" t="s">
        <v>194</v>
      </c>
      <c r="J410" s="1754" t="s">
        <v>755</v>
      </c>
      <c r="K410" s="1789"/>
      <c r="L410" s="1791"/>
      <c r="M410" s="1772" t="s">
        <v>194</v>
      </c>
      <c r="N410" s="1754" t="s">
        <v>756</v>
      </c>
      <c r="O410" s="1768"/>
      <c r="P410" s="1768"/>
      <c r="Q410" s="1789"/>
      <c r="R410" s="1768"/>
      <c r="S410" s="1768"/>
      <c r="T410" s="1768"/>
      <c r="U410" s="1768"/>
      <c r="V410" s="1768"/>
      <c r="W410" s="1768"/>
      <c r="X410" s="1767"/>
      <c r="Y410" s="1914"/>
      <c r="Z410" s="1913"/>
      <c r="AA410" s="1913"/>
      <c r="AB410" s="1794"/>
      <c r="AC410" s="1954"/>
      <c r="AD410" s="1954"/>
      <c r="AE410" s="1954"/>
      <c r="AF410" s="1954"/>
      <c r="AI410" s="1735" t="str">
        <f>"2A:sougei_code:" &amp; IF(I410="■",1,IF(M410="■",2,0))</f>
        <v>2A:sougei_code:0</v>
      </c>
    </row>
    <row r="411" spans="1:35" s="1735" customFormat="1" ht="19.5" hidden="1" customHeight="1">
      <c r="A411" s="2005"/>
      <c r="B411" s="2004"/>
      <c r="C411" s="1764"/>
      <c r="D411" s="1763"/>
      <c r="E411" s="1793"/>
      <c r="F411" s="1878" t="s">
        <v>194</v>
      </c>
      <c r="G411" s="1762" t="s">
        <v>1592</v>
      </c>
      <c r="H411" s="1792" t="s">
        <v>1516</v>
      </c>
      <c r="I411" s="1773" t="s">
        <v>194</v>
      </c>
      <c r="J411" s="1754" t="s">
        <v>750</v>
      </c>
      <c r="K411" s="1754"/>
      <c r="L411" s="1772" t="s">
        <v>194</v>
      </c>
      <c r="M411" s="1754" t="s">
        <v>764</v>
      </c>
      <c r="N411" s="1754"/>
      <c r="O411" s="1768"/>
      <c r="P411" s="1754"/>
      <c r="Q411" s="1768"/>
      <c r="R411" s="1768"/>
      <c r="S411" s="1768"/>
      <c r="T411" s="1768"/>
      <c r="U411" s="1768"/>
      <c r="V411" s="1768"/>
      <c r="W411" s="1768"/>
      <c r="X411" s="1767"/>
      <c r="Y411" s="1913"/>
      <c r="Z411" s="1913"/>
      <c r="AA411" s="1913"/>
      <c r="AB411" s="1794"/>
      <c r="AC411" s="1954"/>
      <c r="AD411" s="1954"/>
      <c r="AE411" s="1954"/>
      <c r="AF411" s="1954"/>
      <c r="AI411" s="1735" t="str">
        <f>"2A:field224:" &amp; IF(I411="■",1,IF(L411="■",2,0))</f>
        <v>2A:field224:0</v>
      </c>
    </row>
    <row r="412" spans="1:35" s="1735" customFormat="1" ht="18.75" hidden="1" customHeight="1">
      <c r="A412" s="1776" t="s">
        <v>194</v>
      </c>
      <c r="B412" s="2004" t="s">
        <v>1669</v>
      </c>
      <c r="C412" s="1764" t="s">
        <v>1668</v>
      </c>
      <c r="D412" s="1878" t="s">
        <v>194</v>
      </c>
      <c r="E412" s="1793" t="s">
        <v>1605</v>
      </c>
      <c r="F412" s="1878" t="s">
        <v>194</v>
      </c>
      <c r="G412" s="1762" t="s">
        <v>1591</v>
      </c>
      <c r="H412" s="1769" t="s">
        <v>787</v>
      </c>
      <c r="I412" s="1773" t="s">
        <v>194</v>
      </c>
      <c r="J412" s="1754" t="s">
        <v>750</v>
      </c>
      <c r="K412" s="1789"/>
      <c r="L412" s="1772" t="s">
        <v>194</v>
      </c>
      <c r="M412" s="1754" t="s">
        <v>764</v>
      </c>
      <c r="N412" s="1768"/>
      <c r="O412" s="1768"/>
      <c r="P412" s="1768"/>
      <c r="Q412" s="1789"/>
      <c r="R412" s="1768"/>
      <c r="S412" s="1768"/>
      <c r="T412" s="1768"/>
      <c r="U412" s="1768"/>
      <c r="V412" s="1768"/>
      <c r="W412" s="1768"/>
      <c r="X412" s="1767"/>
      <c r="Y412" s="1914"/>
      <c r="Z412" s="1913"/>
      <c r="AA412" s="1913"/>
      <c r="AB412" s="1794"/>
      <c r="AC412" s="1954"/>
      <c r="AD412" s="1954"/>
      <c r="AE412" s="1954"/>
      <c r="AF412" s="1954"/>
      <c r="AI412" s="1735" t="str">
        <f>"2A:ryouyoushoku_code:" &amp; IF(I412="■",1,IF(L412="■",2,0))</f>
        <v>2A:ryouyoushoku_code:0</v>
      </c>
    </row>
    <row r="413" spans="1:35" s="1735" customFormat="1" ht="18.75" hidden="1" customHeight="1">
      <c r="A413" s="2005"/>
      <c r="B413" s="2004"/>
      <c r="C413" s="1764"/>
      <c r="D413" s="1763"/>
      <c r="E413" s="1793"/>
      <c r="F413" s="1878" t="s">
        <v>194</v>
      </c>
      <c r="G413" s="1762" t="s">
        <v>1674</v>
      </c>
      <c r="H413" s="1769" t="s">
        <v>791</v>
      </c>
      <c r="I413" s="1773" t="s">
        <v>194</v>
      </c>
      <c r="J413" s="1754" t="s">
        <v>750</v>
      </c>
      <c r="K413" s="1754"/>
      <c r="L413" s="1772" t="s">
        <v>194</v>
      </c>
      <c r="M413" s="1754" t="s">
        <v>784</v>
      </c>
      <c r="N413" s="1754"/>
      <c r="O413" s="1772" t="s">
        <v>194</v>
      </c>
      <c r="P413" s="1754" t="s">
        <v>785</v>
      </c>
      <c r="Q413" s="1768"/>
      <c r="R413" s="1768"/>
      <c r="S413" s="1768"/>
      <c r="T413" s="1768"/>
      <c r="U413" s="1768"/>
      <c r="V413" s="1768"/>
      <c r="W413" s="1768"/>
      <c r="X413" s="1767"/>
      <c r="Y413" s="1914"/>
      <c r="Z413" s="1913"/>
      <c r="AA413" s="1913"/>
      <c r="AB413" s="1794"/>
      <c r="AC413" s="1954"/>
      <c r="AD413" s="1954"/>
      <c r="AE413" s="1954"/>
      <c r="AF413" s="1954"/>
      <c r="AI413" s="1735" t="str">
        <f>"2A:ninti_senmoncare_code:" &amp; IF(I413="■",1,IF(O413="■",3,IF(L413="■",2,0)))</f>
        <v>2A:ninti_senmoncare_code:0</v>
      </c>
    </row>
    <row r="414" spans="1:35" s="1735" customFormat="1" ht="18.75" hidden="1" customHeight="1">
      <c r="A414" s="2005"/>
      <c r="B414" s="2004"/>
      <c r="C414" s="1764"/>
      <c r="D414" s="1763"/>
      <c r="E414" s="1793"/>
      <c r="F414" s="1763"/>
      <c r="G414" s="1762"/>
      <c r="H414" s="1769" t="s">
        <v>1573</v>
      </c>
      <c r="I414" s="1773" t="s">
        <v>194</v>
      </c>
      <c r="J414" s="1754" t="s">
        <v>750</v>
      </c>
      <c r="K414" s="1754"/>
      <c r="L414" s="1772" t="s">
        <v>194</v>
      </c>
      <c r="M414" s="1754" t="s">
        <v>784</v>
      </c>
      <c r="N414" s="1754"/>
      <c r="O414" s="1772" t="s">
        <v>194</v>
      </c>
      <c r="P414" s="1754" t="s">
        <v>785</v>
      </c>
      <c r="Q414" s="1768"/>
      <c r="R414" s="1768"/>
      <c r="S414" s="1768"/>
      <c r="T414" s="1768"/>
      <c r="U414" s="1768"/>
      <c r="V414" s="1768"/>
      <c r="W414" s="1768"/>
      <c r="X414" s="1767"/>
      <c r="Y414" s="1914"/>
      <c r="Z414" s="1913"/>
      <c r="AA414" s="1913"/>
      <c r="AB414" s="1794"/>
      <c r="AC414" s="1954"/>
      <c r="AD414" s="1954"/>
      <c r="AE414" s="1954"/>
      <c r="AF414" s="1954"/>
      <c r="AI414" s="1735" t="str">
        <f>"2A:field164:" &amp; IF(I414="■",1,IF(L414="■",2,IF(O414="■",3,0)))</f>
        <v>2A:field164:0</v>
      </c>
    </row>
    <row r="415" spans="1:35" s="1735" customFormat="1" ht="18.75" hidden="1" customHeight="1">
      <c r="A415" s="2005"/>
      <c r="B415" s="2004"/>
      <c r="C415" s="1764"/>
      <c r="D415" s="1763"/>
      <c r="E415" s="1793"/>
      <c r="F415" s="1763"/>
      <c r="G415" s="1762"/>
      <c r="H415" s="1925" t="s">
        <v>1670</v>
      </c>
      <c r="I415" s="1924" t="s">
        <v>194</v>
      </c>
      <c r="J415" s="1923" t="s">
        <v>1589</v>
      </c>
      <c r="K415" s="1923"/>
      <c r="L415" s="1829"/>
      <c r="M415" s="1829"/>
      <c r="N415" s="1829"/>
      <c r="O415" s="1829"/>
      <c r="P415" s="1922" t="s">
        <v>194</v>
      </c>
      <c r="Q415" s="1923" t="s">
        <v>1588</v>
      </c>
      <c r="R415" s="1829"/>
      <c r="S415" s="1829"/>
      <c r="T415" s="1829"/>
      <c r="U415" s="1829"/>
      <c r="V415" s="1829"/>
      <c r="W415" s="1829"/>
      <c r="X415" s="1828"/>
      <c r="Y415" s="1914"/>
      <c r="Z415" s="1913"/>
      <c r="AA415" s="1913"/>
      <c r="AB415" s="1794"/>
      <c r="AC415" s="1954"/>
      <c r="AD415" s="1954"/>
      <c r="AE415" s="1954"/>
      <c r="AF415" s="1954"/>
      <c r="AI415" s="1735" t="str">
        <f>"2A:" &amp; IF(AND(I415="□",P415="□",I416="□"),"tokusin_jyusho_code:0:tokusin_yakuzai_code:0:shuudan_comu_code:0",IF(I415="■","tokusin_jyusho_code:2","tokusin_jyusho_code:1")
&amp;IF(P415="■",":tokusin_yakuzai_code:2",":tokusin_yakuzai_code:1")
&amp;IF(I416="■",":shuudan_comu_code:2",":shuudan_comu_code:1"))</f>
        <v>2A:tokusin_jyusho_code:0:tokusin_yakuzai_code:0:shuudan_comu_code:0</v>
      </c>
    </row>
    <row r="416" spans="1:35" s="1735" customFormat="1" ht="18.75" hidden="1" customHeight="1">
      <c r="A416" s="2005"/>
      <c r="B416" s="2004"/>
      <c r="C416" s="1764"/>
      <c r="D416" s="1763"/>
      <c r="E416" s="1793"/>
      <c r="F416" s="1763"/>
      <c r="G416" s="1762"/>
      <c r="H416" s="1921"/>
      <c r="I416" s="1758" t="s">
        <v>194</v>
      </c>
      <c r="J416" s="1756" t="s">
        <v>1585</v>
      </c>
      <c r="K416" s="1827"/>
      <c r="L416" s="1827"/>
      <c r="M416" s="1827"/>
      <c r="N416" s="1827"/>
      <c r="O416" s="1827"/>
      <c r="P416" s="1827"/>
      <c r="Q416" s="1780"/>
      <c r="R416" s="1827"/>
      <c r="S416" s="1827"/>
      <c r="T416" s="1827"/>
      <c r="U416" s="1827"/>
      <c r="V416" s="1827"/>
      <c r="W416" s="1827"/>
      <c r="X416" s="1826"/>
      <c r="Y416" s="1914"/>
      <c r="Z416" s="1913"/>
      <c r="AA416" s="1913"/>
      <c r="AB416" s="1794"/>
      <c r="AC416" s="1954"/>
      <c r="AD416" s="1954"/>
      <c r="AE416" s="1954"/>
      <c r="AF416" s="1954"/>
    </row>
    <row r="417" spans="1:36" s="1735" customFormat="1" ht="18.75" hidden="1" customHeight="1">
      <c r="A417" s="2005"/>
      <c r="B417" s="2004"/>
      <c r="C417" s="1764"/>
      <c r="D417" s="1763"/>
      <c r="E417" s="1793"/>
      <c r="F417" s="1763"/>
      <c r="G417" s="1762"/>
      <c r="H417" s="1925" t="s">
        <v>1584</v>
      </c>
      <c r="I417" s="1924" t="s">
        <v>194</v>
      </c>
      <c r="J417" s="1923" t="s">
        <v>1583</v>
      </c>
      <c r="K417" s="1938"/>
      <c r="L417" s="1937"/>
      <c r="M417" s="1922" t="s">
        <v>194</v>
      </c>
      <c r="N417" s="1923" t="s">
        <v>1582</v>
      </c>
      <c r="O417" s="1829"/>
      <c r="P417" s="1829"/>
      <c r="Q417" s="1922" t="s">
        <v>194</v>
      </c>
      <c r="R417" s="1923" t="s">
        <v>1581</v>
      </c>
      <c r="S417" s="1829"/>
      <c r="T417" s="1829"/>
      <c r="U417" s="1829"/>
      <c r="V417" s="1829"/>
      <c r="W417" s="1829"/>
      <c r="X417" s="1828"/>
      <c r="Y417" s="1914"/>
      <c r="Z417" s="1913"/>
      <c r="AA417" s="1913"/>
      <c r="AB417" s="1794"/>
      <c r="AC417" s="1954"/>
      <c r="AD417" s="1954"/>
      <c r="AE417" s="1954"/>
      <c r="AF417" s="1954"/>
      <c r="AI417" s="1735" t="str">
        <f>"2A:"&amp;IF(AND(I417="□",M417="□",Q417="□",I418="□",Q418="□"),"koriha_rryoho1_code:0:koriha_sryoho_code:0:koriha_gengo_code:0:riha_seisin_code:0:koriha_other_code:0",IF(I417="■","koriha_rryoho1_code:2","koriha_rryoho1_code:1")
&amp;IF(M417="■",":koriha_sryoho_code:2",":koriha_sryoho_code:1")
&amp;IF(Q417="■",":koriha_gengo_code:2",":koriha_gengo_code:1")
&amp;IF(I418="■",":riha_seisin_code:2",":riha_seisin_code:1")
&amp;IF(Q418="■",":koriha_other_code:2",":koriha_other_code:1"))</f>
        <v>2A:koriha_rryoho1_code:0:koriha_sryoho_code:0:koriha_gengo_code:0:riha_seisin_code:0:koriha_other_code:0</v>
      </c>
    </row>
    <row r="418" spans="1:36" s="1735" customFormat="1" ht="18.75" hidden="1" customHeight="1">
      <c r="A418" s="2005"/>
      <c r="B418" s="2004"/>
      <c r="C418" s="1764"/>
      <c r="D418" s="1763"/>
      <c r="E418" s="1793"/>
      <c r="F418" s="1763"/>
      <c r="G418" s="1762"/>
      <c r="H418" s="1921"/>
      <c r="I418" s="1758" t="s">
        <v>194</v>
      </c>
      <c r="J418" s="1756" t="s">
        <v>1580</v>
      </c>
      <c r="K418" s="1827"/>
      <c r="L418" s="1827"/>
      <c r="M418" s="1827"/>
      <c r="N418" s="1827"/>
      <c r="O418" s="1827"/>
      <c r="P418" s="1827"/>
      <c r="Q418" s="1757" t="s">
        <v>194</v>
      </c>
      <c r="R418" s="1756" t="s">
        <v>1579</v>
      </c>
      <c r="S418" s="1780"/>
      <c r="T418" s="1827"/>
      <c r="U418" s="1827"/>
      <c r="V418" s="1827"/>
      <c r="W418" s="1827"/>
      <c r="X418" s="1826"/>
      <c r="Y418" s="1914"/>
      <c r="Z418" s="1913"/>
      <c r="AA418" s="1913"/>
      <c r="AB418" s="1794"/>
      <c r="AC418" s="1954"/>
      <c r="AD418" s="1954"/>
      <c r="AE418" s="1954"/>
      <c r="AF418" s="1954"/>
    </row>
    <row r="419" spans="1:36" s="1735" customFormat="1" ht="18.75" hidden="1" customHeight="1">
      <c r="A419" s="2005"/>
      <c r="B419" s="2004"/>
      <c r="C419" s="1764"/>
      <c r="D419" s="1763"/>
      <c r="E419" s="1793"/>
      <c r="F419" s="1763"/>
      <c r="G419" s="1762"/>
      <c r="H419" s="1917" t="s">
        <v>794</v>
      </c>
      <c r="I419" s="1773" t="s">
        <v>194</v>
      </c>
      <c r="J419" s="1754" t="s">
        <v>750</v>
      </c>
      <c r="K419" s="1754"/>
      <c r="L419" s="1772" t="s">
        <v>194</v>
      </c>
      <c r="M419" s="1754" t="s">
        <v>784</v>
      </c>
      <c r="N419" s="1754"/>
      <c r="O419" s="1772" t="s">
        <v>194</v>
      </c>
      <c r="P419" s="1754" t="s">
        <v>785</v>
      </c>
      <c r="Q419" s="1768"/>
      <c r="R419" s="1768"/>
      <c r="S419" s="1768"/>
      <c r="T419" s="1768"/>
      <c r="U419" s="1829"/>
      <c r="V419" s="1829"/>
      <c r="W419" s="1829"/>
      <c r="X419" s="1828"/>
      <c r="Y419" s="1914"/>
      <c r="Z419" s="1913"/>
      <c r="AA419" s="1913"/>
      <c r="AB419" s="1794"/>
      <c r="AC419" s="1954"/>
      <c r="AD419" s="1954"/>
      <c r="AE419" s="1954"/>
      <c r="AF419" s="1954"/>
      <c r="AI419" s="1735" t="str">
        <f>"2A:field225:" &amp; IF(I419="■",1,IF(L419="■",2,IF(O419="■",3,0)))</f>
        <v>2A:field225:0</v>
      </c>
    </row>
    <row r="420" spans="1:36" s="1735" customFormat="1" ht="18.75" hidden="1" customHeight="1">
      <c r="A420" s="2005"/>
      <c r="B420" s="2004"/>
      <c r="C420" s="1764"/>
      <c r="D420" s="1763"/>
      <c r="E420" s="1793"/>
      <c r="F420" s="1763"/>
      <c r="G420" s="1762"/>
      <c r="H420" s="1777" t="s">
        <v>795</v>
      </c>
      <c r="I420" s="1773" t="s">
        <v>194</v>
      </c>
      <c r="J420" s="1754" t="s">
        <v>750</v>
      </c>
      <c r="K420" s="1754"/>
      <c r="L420" s="1772" t="s">
        <v>194</v>
      </c>
      <c r="M420" s="1754" t="s">
        <v>796</v>
      </c>
      <c r="N420" s="1754"/>
      <c r="O420" s="1772" t="s">
        <v>194</v>
      </c>
      <c r="P420" s="1754" t="s">
        <v>797</v>
      </c>
      <c r="Q420" s="1771"/>
      <c r="R420" s="1772" t="s">
        <v>194</v>
      </c>
      <c r="S420" s="1754" t="s">
        <v>798</v>
      </c>
      <c r="T420" s="1771"/>
      <c r="U420" s="1771"/>
      <c r="V420" s="1771"/>
      <c r="W420" s="1771"/>
      <c r="X420" s="1770"/>
      <c r="Y420" s="1914"/>
      <c r="Z420" s="1913"/>
      <c r="AA420" s="1913"/>
      <c r="AB420" s="1794"/>
      <c r="AC420" s="1954"/>
      <c r="AD420" s="1954"/>
      <c r="AE420" s="1954"/>
      <c r="AF420" s="1954"/>
      <c r="AI420" s="1735" t="str">
        <f>"2A:serteikyo_kyoka_code:" &amp; IF(I420="■",1,IF(L420="■",6,IF(O420="■",5,IF(R420="■",7,0))))</f>
        <v>2A:serteikyo_kyoka_code:0</v>
      </c>
    </row>
    <row r="421" spans="1:36" s="1735" customFormat="1" ht="18.75" hidden="1" customHeight="1">
      <c r="A421" s="2005"/>
      <c r="B421" s="2004"/>
      <c r="C421" s="1764"/>
      <c r="D421" s="1763"/>
      <c r="E421" s="1793"/>
      <c r="F421" s="1763"/>
      <c r="G421" s="1762"/>
      <c r="H421" s="1788" t="s">
        <v>1665</v>
      </c>
      <c r="I421" s="1969" t="s">
        <v>194</v>
      </c>
      <c r="J421" s="1968" t="s">
        <v>750</v>
      </c>
      <c r="K421" s="1968"/>
      <c r="L421" s="1967" t="s">
        <v>194</v>
      </c>
      <c r="M421" s="1968" t="s">
        <v>764</v>
      </c>
      <c r="N421" s="1968"/>
      <c r="O421" s="1923"/>
      <c r="P421" s="1923"/>
      <c r="Q421" s="1923"/>
      <c r="R421" s="1923"/>
      <c r="S421" s="1923"/>
      <c r="T421" s="1923"/>
      <c r="U421" s="1923"/>
      <c r="V421" s="1923"/>
      <c r="W421" s="1923"/>
      <c r="X421" s="1956"/>
      <c r="Y421" s="1914"/>
      <c r="Z421" s="1913"/>
      <c r="AA421" s="1913"/>
      <c r="AB421" s="1794"/>
      <c r="AC421" s="1954"/>
      <c r="AD421" s="1954"/>
      <c r="AE421" s="1954"/>
      <c r="AF421" s="1954"/>
      <c r="AI421" s="1735" t="str">
        <f>"2A:field221:" &amp; IF(I421="■",1,IF(L421="■",2,0))</f>
        <v>2A:field221:0</v>
      </c>
    </row>
    <row r="422" spans="1:36" s="1735" customFormat="1" ht="18.75" hidden="1" customHeight="1">
      <c r="A422" s="2005"/>
      <c r="B422" s="2004"/>
      <c r="C422" s="1764"/>
      <c r="D422" s="1763"/>
      <c r="E422" s="1793"/>
      <c r="F422" s="1763"/>
      <c r="G422" s="1762"/>
      <c r="H422" s="1783"/>
      <c r="I422" s="1969"/>
      <c r="J422" s="1968"/>
      <c r="K422" s="1968"/>
      <c r="L422" s="1967"/>
      <c r="M422" s="1968"/>
      <c r="N422" s="1968"/>
      <c r="O422" s="1756"/>
      <c r="P422" s="1756"/>
      <c r="Q422" s="1756"/>
      <c r="R422" s="1756"/>
      <c r="S422" s="1756"/>
      <c r="T422" s="1756"/>
      <c r="U422" s="1756"/>
      <c r="V422" s="1756"/>
      <c r="W422" s="1756"/>
      <c r="X422" s="1814"/>
      <c r="Y422" s="1914"/>
      <c r="Z422" s="1913"/>
      <c r="AA422" s="1913"/>
      <c r="AB422" s="1794"/>
      <c r="AC422" s="1954"/>
      <c r="AD422" s="1954"/>
      <c r="AE422" s="1954"/>
      <c r="AF422" s="1954"/>
    </row>
    <row r="423" spans="1:36" s="1735" customFormat="1" ht="18.75" hidden="1" customHeight="1">
      <c r="A423" s="1752"/>
      <c r="B423" s="1751"/>
      <c r="C423" s="1750"/>
      <c r="D423" s="1749"/>
      <c r="E423" s="1748"/>
      <c r="F423" s="1747"/>
      <c r="G423" s="1808"/>
      <c r="H423" s="1909" t="s">
        <v>1553</v>
      </c>
      <c r="I423" s="1744" t="s">
        <v>194</v>
      </c>
      <c r="J423" s="1905" t="s">
        <v>750</v>
      </c>
      <c r="K423" s="1905"/>
      <c r="L423" s="1743" t="s">
        <v>194</v>
      </c>
      <c r="M423" s="1905" t="s">
        <v>1552</v>
      </c>
      <c r="N423" s="1908"/>
      <c r="O423" s="1743" t="s">
        <v>194</v>
      </c>
      <c r="P423" s="1907" t="s">
        <v>1551</v>
      </c>
      <c r="Q423" s="1906"/>
      <c r="R423" s="1743" t="s">
        <v>194</v>
      </c>
      <c r="S423" s="1905" t="s">
        <v>1550</v>
      </c>
      <c r="T423" s="1906"/>
      <c r="U423" s="1743" t="s">
        <v>194</v>
      </c>
      <c r="V423" s="1905" t="s">
        <v>1549</v>
      </c>
      <c r="W423" s="1904"/>
      <c r="X423" s="1903"/>
      <c r="Y423" s="1902"/>
      <c r="Z423" s="1902"/>
      <c r="AA423" s="1902"/>
      <c r="AB423" s="1901"/>
      <c r="AC423" s="1953"/>
      <c r="AD423" s="1953"/>
      <c r="AE423" s="1953"/>
      <c r="AF423" s="1953"/>
      <c r="AI423" s="1735" t="str">
        <f>"2A:shoguukaizen_code:"&amp;IF(I423="■",1,IF(L423="■",7,IF(O423="■",8,IF(R423="■",9,IF(U423="■","A",0)))))</f>
        <v>2A:shoguukaizen_code:0</v>
      </c>
    </row>
    <row r="424" spans="1:36" s="1735" customFormat="1" ht="18.75" hidden="1" customHeight="1">
      <c r="A424" s="2009"/>
      <c r="B424" s="2008"/>
      <c r="C424" s="1849"/>
      <c r="D424" s="1848"/>
      <c r="E424" s="1802"/>
      <c r="F424" s="1848"/>
      <c r="G424" s="1804"/>
      <c r="H424" s="1885" t="s">
        <v>746</v>
      </c>
      <c r="I424" s="1873" t="s">
        <v>194</v>
      </c>
      <c r="J424" s="1872" t="s">
        <v>747</v>
      </c>
      <c r="K424" s="1932"/>
      <c r="L424" s="2007"/>
      <c r="M424" s="1931" t="s">
        <v>194</v>
      </c>
      <c r="N424" s="1872" t="s">
        <v>1572</v>
      </c>
      <c r="O424" s="1930"/>
      <c r="P424" s="1930"/>
      <c r="Q424" s="1931" t="s">
        <v>194</v>
      </c>
      <c r="R424" s="1872" t="s">
        <v>1571</v>
      </c>
      <c r="S424" s="1930"/>
      <c r="T424" s="1930"/>
      <c r="U424" s="1931" t="s">
        <v>194</v>
      </c>
      <c r="V424" s="1872" t="s">
        <v>1570</v>
      </c>
      <c r="W424" s="1930"/>
      <c r="X424" s="1886"/>
      <c r="Y424" s="1931" t="s">
        <v>194</v>
      </c>
      <c r="Z424" s="1872" t="s">
        <v>749</v>
      </c>
      <c r="AA424" s="1872"/>
      <c r="AB424" s="1929"/>
      <c r="AC424" s="1959"/>
      <c r="AD424" s="1959"/>
      <c r="AE424" s="1959"/>
      <c r="AF424" s="1959"/>
      <c r="AG424" s="1735" t="str">
        <f>"ser_code = '" &amp; IF(A436="■","2A","") &amp; "'"</f>
        <v>ser_code = ''</v>
      </c>
      <c r="AH424" s="1735" t="str">
        <f>"2A:jininkbn_code:"&amp;IF(F435="■",1,IF(F436="■",2,IF(F437="■",3,0)))</f>
        <v>2A:jininkbn_code:0</v>
      </c>
      <c r="AI424" s="1735" t="str">
        <f>"2A:yakan_kinmu_code:" &amp; IF(I424="■",1,IF(M424="■",2,IF(Q424="■",3,IF(U424="■",7,IF(I425="■",5,IF(M425="■",6,0))))))</f>
        <v>2A:yakan_kinmu_code:0</v>
      </c>
      <c r="AJ424" s="1735" t="str">
        <f>"2A:field203:" &amp; IF(Y424="■",1,IF(Y425="■",2,0))</f>
        <v>2A:field203:0</v>
      </c>
    </row>
    <row r="425" spans="1:36" s="1735" customFormat="1" ht="18.75" hidden="1" customHeight="1">
      <c r="A425" s="2005"/>
      <c r="B425" s="2004"/>
      <c r="C425" s="1764"/>
      <c r="D425" s="1763"/>
      <c r="E425" s="1793"/>
      <c r="F425" s="1763"/>
      <c r="G425" s="1762"/>
      <c r="H425" s="1921"/>
      <c r="I425" s="1758" t="s">
        <v>194</v>
      </c>
      <c r="J425" s="1756" t="s">
        <v>1569</v>
      </c>
      <c r="K425" s="1755"/>
      <c r="L425" s="2006"/>
      <c r="M425" s="1757" t="s">
        <v>194</v>
      </c>
      <c r="N425" s="1756" t="s">
        <v>748</v>
      </c>
      <c r="O425" s="1780"/>
      <c r="P425" s="1780"/>
      <c r="Q425" s="1780"/>
      <c r="R425" s="1780"/>
      <c r="S425" s="1780"/>
      <c r="T425" s="1780"/>
      <c r="U425" s="1780"/>
      <c r="V425" s="1780"/>
      <c r="W425" s="1780"/>
      <c r="X425" s="1779"/>
      <c r="Y425" s="1878" t="s">
        <v>194</v>
      </c>
      <c r="Z425" s="1738" t="s">
        <v>754</v>
      </c>
      <c r="AA425" s="1913"/>
      <c r="AB425" s="1794"/>
      <c r="AC425" s="1970"/>
      <c r="AD425" s="1970"/>
      <c r="AE425" s="1970"/>
      <c r="AF425" s="1970"/>
      <c r="AG425" s="1735" t="str">
        <f>"2A:sisetukbn_code:"&amp;IF(D436="■","2",0)</f>
        <v>2A:sisetukbn_code:0</v>
      </c>
    </row>
    <row r="426" spans="1:36" s="1735" customFormat="1" ht="18.75" hidden="1" customHeight="1">
      <c r="A426" s="2005"/>
      <c r="B426" s="2004"/>
      <c r="C426" s="1764"/>
      <c r="D426" s="1763"/>
      <c r="E426" s="1793"/>
      <c r="F426" s="1763"/>
      <c r="G426" s="1762"/>
      <c r="H426" s="1925" t="s">
        <v>98</v>
      </c>
      <c r="I426" s="1924" t="s">
        <v>194</v>
      </c>
      <c r="J426" s="1923" t="s">
        <v>750</v>
      </c>
      <c r="K426" s="1923"/>
      <c r="L426" s="1937"/>
      <c r="M426" s="1922" t="s">
        <v>194</v>
      </c>
      <c r="N426" s="1923" t="s">
        <v>1568</v>
      </c>
      <c r="O426" s="1923"/>
      <c r="P426" s="1937"/>
      <c r="Q426" s="1922" t="s">
        <v>194</v>
      </c>
      <c r="R426" s="1785" t="s">
        <v>1567</v>
      </c>
      <c r="S426" s="1785"/>
      <c r="T426" s="1785"/>
      <c r="U426" s="1829"/>
      <c r="V426" s="1937"/>
      <c r="W426" s="1785"/>
      <c r="X426" s="1828"/>
      <c r="Y426" s="1914"/>
      <c r="Z426" s="1913"/>
      <c r="AA426" s="1913"/>
      <c r="AB426" s="1794"/>
      <c r="AC426" s="1954"/>
      <c r="AD426" s="1954"/>
      <c r="AE426" s="1954"/>
      <c r="AF426" s="1954"/>
      <c r="AI426" s="1735" t="str">
        <f>"2A:"&amp;IF(AND(I426="□",M426="□",Q426="□",I427="□",M427="□"),"ketu_doctor_code:0",IF(I426="■","ketu_doctor_code:1:field197:1:ketu_kangos_code:1:ketu_kshoku_code:1",IF(M426="■","ketu_doctor_code:2","ketu_doctor_code:1")
&amp;IF(Q426="■",":field197:2",":field197:1")
&amp;IF(I427="■",":ketu_kangos_code:2",":ketu_kangos_code:1")
&amp;IF(M427="■",":ketu_kshoku_code:2",":ketu_kshoku_code:1")))</f>
        <v>2A:ketu_doctor_code:0</v>
      </c>
    </row>
    <row r="427" spans="1:36" s="1735" customFormat="1" ht="18.75" hidden="1" customHeight="1">
      <c r="A427" s="2005"/>
      <c r="B427" s="2004"/>
      <c r="C427" s="1764"/>
      <c r="D427" s="1763"/>
      <c r="E427" s="1793"/>
      <c r="F427" s="1763"/>
      <c r="G427" s="1762"/>
      <c r="H427" s="1921"/>
      <c r="I427" s="1758" t="s">
        <v>194</v>
      </c>
      <c r="J427" s="1780" t="s">
        <v>1566</v>
      </c>
      <c r="K427" s="1780"/>
      <c r="L427" s="1780"/>
      <c r="M427" s="1757" t="s">
        <v>194</v>
      </c>
      <c r="N427" s="1780" t="s">
        <v>1565</v>
      </c>
      <c r="O427" s="2006"/>
      <c r="P427" s="1780"/>
      <c r="Q427" s="1780"/>
      <c r="R427" s="2006"/>
      <c r="S427" s="1780"/>
      <c r="T427" s="1780"/>
      <c r="U427" s="1827"/>
      <c r="V427" s="2006"/>
      <c r="W427" s="1780"/>
      <c r="X427" s="1826"/>
      <c r="Y427" s="1914"/>
      <c r="Z427" s="1913"/>
      <c r="AA427" s="1913"/>
      <c r="AB427" s="1794"/>
      <c r="AC427" s="1954"/>
      <c r="AD427" s="1954"/>
      <c r="AE427" s="1954"/>
      <c r="AF427" s="1954"/>
    </row>
    <row r="428" spans="1:36" s="1735" customFormat="1" ht="18.75" hidden="1" customHeight="1">
      <c r="A428" s="1766"/>
      <c r="B428" s="1765"/>
      <c r="C428" s="1916"/>
      <c r="D428" s="1915"/>
      <c r="E428" s="1762"/>
      <c r="F428" s="1761"/>
      <c r="G428" s="1793"/>
      <c r="H428" s="2002" t="s">
        <v>757</v>
      </c>
      <c r="I428" s="1842" t="s">
        <v>194</v>
      </c>
      <c r="J428" s="1837" t="s">
        <v>758</v>
      </c>
      <c r="K428" s="1841"/>
      <c r="L428" s="1840"/>
      <c r="M428" s="1839" t="s">
        <v>194</v>
      </c>
      <c r="N428" s="1837" t="s">
        <v>759</v>
      </c>
      <c r="O428" s="1841"/>
      <c r="P428" s="2001"/>
      <c r="Q428" s="2001"/>
      <c r="R428" s="2001"/>
      <c r="S428" s="2001"/>
      <c r="T428" s="2001"/>
      <c r="U428" s="2001"/>
      <c r="V428" s="2001"/>
      <c r="W428" s="2001"/>
      <c r="X428" s="2000"/>
      <c r="Y428" s="1914"/>
      <c r="Z428" s="1913"/>
      <c r="AA428" s="1913"/>
      <c r="AB428" s="1794"/>
      <c r="AC428" s="1954"/>
      <c r="AD428" s="1954"/>
      <c r="AE428" s="1954"/>
      <c r="AF428" s="1954"/>
      <c r="AI428" s="1735" t="str">
        <f>"2A:sintaikousoku_code:" &amp; IF(I428="■",1,IF(M428="■",2,0))</f>
        <v>2A:sintaikousoku_code:0</v>
      </c>
    </row>
    <row r="429" spans="1:36" s="1735" customFormat="1" ht="19.5" hidden="1" customHeight="1">
      <c r="A429" s="1766"/>
      <c r="B429" s="1765"/>
      <c r="C429" s="1764"/>
      <c r="D429" s="1763"/>
      <c r="E429" s="1762"/>
      <c r="F429" s="1761"/>
      <c r="G429" s="1793"/>
      <c r="H429" s="1792" t="s">
        <v>760</v>
      </c>
      <c r="I429" s="1773" t="s">
        <v>194</v>
      </c>
      <c r="J429" s="1754" t="s">
        <v>758</v>
      </c>
      <c r="K429" s="1789"/>
      <c r="L429" s="1791"/>
      <c r="M429" s="1772" t="s">
        <v>194</v>
      </c>
      <c r="N429" s="1754" t="s">
        <v>761</v>
      </c>
      <c r="O429" s="1920"/>
      <c r="P429" s="1754"/>
      <c r="Q429" s="1768"/>
      <c r="R429" s="1768"/>
      <c r="S429" s="1768"/>
      <c r="T429" s="1768"/>
      <c r="U429" s="1768"/>
      <c r="V429" s="1768"/>
      <c r="W429" s="1768"/>
      <c r="X429" s="1767"/>
      <c r="Y429" s="1913"/>
      <c r="Z429" s="1913"/>
      <c r="AA429" s="1913"/>
      <c r="AB429" s="1794"/>
      <c r="AC429" s="1954"/>
      <c r="AD429" s="1954"/>
      <c r="AE429" s="1954"/>
      <c r="AF429" s="1954"/>
      <c r="AI429" s="1735" t="str">
        <f>"2A:field223:" &amp; IF(I429="■",1,IF(M429="■",2,0))</f>
        <v>2A:field223:0</v>
      </c>
    </row>
    <row r="430" spans="1:36" s="1735" customFormat="1" ht="19.5" hidden="1" customHeight="1">
      <c r="A430" s="1766"/>
      <c r="B430" s="1765"/>
      <c r="C430" s="1764"/>
      <c r="D430" s="1763"/>
      <c r="E430" s="1762"/>
      <c r="F430" s="1761"/>
      <c r="G430" s="1793"/>
      <c r="H430" s="1792" t="s">
        <v>762</v>
      </c>
      <c r="I430" s="1773" t="s">
        <v>194</v>
      </c>
      <c r="J430" s="1754" t="s">
        <v>758</v>
      </c>
      <c r="K430" s="1789"/>
      <c r="L430" s="1791"/>
      <c r="M430" s="1772" t="s">
        <v>194</v>
      </c>
      <c r="N430" s="1754" t="s">
        <v>761</v>
      </c>
      <c r="O430" s="1920"/>
      <c r="P430" s="1754"/>
      <c r="Q430" s="1768"/>
      <c r="R430" s="1768"/>
      <c r="S430" s="1768"/>
      <c r="T430" s="1768"/>
      <c r="U430" s="1768"/>
      <c r="V430" s="1768"/>
      <c r="W430" s="1768"/>
      <c r="X430" s="1767"/>
      <c r="Y430" s="1913"/>
      <c r="Z430" s="1913"/>
      <c r="AA430" s="1913"/>
      <c r="AB430" s="1794"/>
      <c r="AC430" s="1954"/>
      <c r="AD430" s="1954"/>
      <c r="AE430" s="1954"/>
      <c r="AF430" s="1954"/>
      <c r="AI430" s="1735" t="str">
        <f>"2A:field232:" &amp; IF(I430="■",1,IF(M430="■",2,0))</f>
        <v>2A:field232:0</v>
      </c>
    </row>
    <row r="431" spans="1:36" s="835" customFormat="1" ht="19.5" hidden="1" customHeight="1">
      <c r="A431" s="338"/>
      <c r="B431" s="833"/>
      <c r="C431" s="341"/>
      <c r="D431" s="834"/>
      <c r="E431" s="836"/>
      <c r="F431" s="832"/>
      <c r="G431" s="385"/>
      <c r="H431" s="1945" t="s">
        <v>1597</v>
      </c>
      <c r="I431" s="1773" t="s">
        <v>194</v>
      </c>
      <c r="J431" s="1941" t="s">
        <v>1595</v>
      </c>
      <c r="K431" s="1944"/>
      <c r="L431" s="1943"/>
      <c r="M431" s="1772" t="s">
        <v>194</v>
      </c>
      <c r="N431" s="1941" t="s">
        <v>1594</v>
      </c>
      <c r="O431" s="1942"/>
      <c r="P431" s="1941"/>
      <c r="Q431" s="1940"/>
      <c r="R431" s="1940"/>
      <c r="S431" s="1940"/>
      <c r="T431" s="1940"/>
      <c r="U431" s="1940"/>
      <c r="V431" s="1940"/>
      <c r="W431" s="1940"/>
      <c r="X431" s="1939"/>
      <c r="Y431" s="557"/>
      <c r="Z431" s="2"/>
      <c r="AA431" s="837"/>
      <c r="AB431" s="339"/>
      <c r="AC431" s="1954"/>
      <c r="AD431" s="1954"/>
      <c r="AE431" s="1954"/>
      <c r="AF431" s="1954"/>
      <c r="AI431" s="1735" t="str">
        <f>"2A:field242:" &amp; IF(I431="■",1,IF(M431="■",2,0))</f>
        <v>2A:field242:0</v>
      </c>
    </row>
    <row r="432" spans="1:36" s="1735" customFormat="1" ht="18.75" hidden="1" customHeight="1">
      <c r="A432" s="2005"/>
      <c r="B432" s="2004"/>
      <c r="C432" s="1764"/>
      <c r="D432" s="1763"/>
      <c r="E432" s="1793"/>
      <c r="F432" s="1763"/>
      <c r="G432" s="1762"/>
      <c r="H432" s="1769" t="s">
        <v>1560</v>
      </c>
      <c r="I432" s="1773" t="s">
        <v>194</v>
      </c>
      <c r="J432" s="1754" t="s">
        <v>747</v>
      </c>
      <c r="K432" s="1789"/>
      <c r="L432" s="1791"/>
      <c r="M432" s="1772" t="s">
        <v>194</v>
      </c>
      <c r="N432" s="1754" t="s">
        <v>1556</v>
      </c>
      <c r="O432" s="1768"/>
      <c r="P432" s="1768"/>
      <c r="Q432" s="1768"/>
      <c r="R432" s="1768"/>
      <c r="S432" s="1768"/>
      <c r="T432" s="1768"/>
      <c r="U432" s="1768"/>
      <c r="V432" s="1768"/>
      <c r="W432" s="1768"/>
      <c r="X432" s="1767"/>
      <c r="Y432" s="1914"/>
      <c r="Z432" s="1913"/>
      <c r="AA432" s="1913"/>
      <c r="AB432" s="1794"/>
      <c r="AC432" s="1954"/>
      <c r="AD432" s="1954"/>
      <c r="AE432" s="1954"/>
      <c r="AF432" s="1954"/>
      <c r="AI432" s="1735" t="str">
        <f>"2A:field190:" &amp; IF(I432="■",1,IF(M432="■",2,0))</f>
        <v>2A:field190:0</v>
      </c>
    </row>
    <row r="433" spans="1:35" s="1735" customFormat="1" ht="18.75" hidden="1" customHeight="1">
      <c r="A433" s="2005"/>
      <c r="B433" s="2004"/>
      <c r="C433" s="1764"/>
      <c r="D433" s="1763"/>
      <c r="E433" s="1793"/>
      <c r="F433" s="1763"/>
      <c r="G433" s="1762"/>
      <c r="H433" s="1769" t="s">
        <v>1558</v>
      </c>
      <c r="I433" s="1773" t="s">
        <v>194</v>
      </c>
      <c r="J433" s="1754" t="s">
        <v>747</v>
      </c>
      <c r="K433" s="1789"/>
      <c r="L433" s="1791"/>
      <c r="M433" s="1772" t="s">
        <v>194</v>
      </c>
      <c r="N433" s="1754" t="s">
        <v>1556</v>
      </c>
      <c r="O433" s="1768"/>
      <c r="P433" s="1768"/>
      <c r="Q433" s="1768"/>
      <c r="R433" s="1768"/>
      <c r="S433" s="1768"/>
      <c r="T433" s="1768"/>
      <c r="U433" s="1768"/>
      <c r="V433" s="1768"/>
      <c r="W433" s="1768"/>
      <c r="X433" s="1767"/>
      <c r="Y433" s="1914"/>
      <c r="Z433" s="1913"/>
      <c r="AA433" s="1913"/>
      <c r="AB433" s="1794"/>
      <c r="AC433" s="1954"/>
      <c r="AD433" s="1954"/>
      <c r="AE433" s="1954"/>
      <c r="AF433" s="1954"/>
      <c r="AI433" s="1735" t="str">
        <f>"2A:field191:" &amp; IF(I433="■",1,IF(M433="■",2,0))</f>
        <v>2A:field191:0</v>
      </c>
    </row>
    <row r="434" spans="1:35" s="1735" customFormat="1" ht="18.75" hidden="1" customHeight="1">
      <c r="A434" s="2005"/>
      <c r="B434" s="2004"/>
      <c r="C434" s="1764"/>
      <c r="D434" s="1763"/>
      <c r="E434" s="1793"/>
      <c r="F434" s="1763"/>
      <c r="G434" s="1762"/>
      <c r="H434" s="1769" t="s">
        <v>1498</v>
      </c>
      <c r="I434" s="1773" t="s">
        <v>194</v>
      </c>
      <c r="J434" s="1754" t="s">
        <v>750</v>
      </c>
      <c r="K434" s="1789"/>
      <c r="L434" s="1772" t="s">
        <v>194</v>
      </c>
      <c r="M434" s="1754" t="s">
        <v>764</v>
      </c>
      <c r="N434" s="1768"/>
      <c r="O434" s="1768"/>
      <c r="P434" s="1768"/>
      <c r="Q434" s="1768"/>
      <c r="R434" s="1768"/>
      <c r="S434" s="1768"/>
      <c r="T434" s="1768"/>
      <c r="U434" s="1768"/>
      <c r="V434" s="1768"/>
      <c r="W434" s="1768"/>
      <c r="X434" s="1767"/>
      <c r="Y434" s="1914"/>
      <c r="Z434" s="1913"/>
      <c r="AA434" s="1913"/>
      <c r="AB434" s="1794"/>
      <c r="AC434" s="1954"/>
      <c r="AD434" s="1954"/>
      <c r="AE434" s="1954"/>
      <c r="AF434" s="1954"/>
      <c r="AI434" s="1735" t="str">
        <f>"2A:jyakuninti_uke_code:" &amp; IF(I434="■",1,IF(L434="■",2,0))</f>
        <v>2A:jyakuninti_uke_code:0</v>
      </c>
    </row>
    <row r="435" spans="1:35" s="1735" customFormat="1" ht="18.75" hidden="1" customHeight="1">
      <c r="A435" s="2005"/>
      <c r="B435" s="2004"/>
      <c r="C435" s="1764"/>
      <c r="D435" s="1763"/>
      <c r="E435" s="1793"/>
      <c r="F435" s="1878" t="s">
        <v>194</v>
      </c>
      <c r="G435" s="1762" t="s">
        <v>1603</v>
      </c>
      <c r="H435" s="1769" t="s">
        <v>1666</v>
      </c>
      <c r="I435" s="1773" t="s">
        <v>194</v>
      </c>
      <c r="J435" s="1754" t="s">
        <v>755</v>
      </c>
      <c r="K435" s="1789"/>
      <c r="L435" s="1791"/>
      <c r="M435" s="1772" t="s">
        <v>194</v>
      </c>
      <c r="N435" s="1754" t="s">
        <v>756</v>
      </c>
      <c r="O435" s="1768"/>
      <c r="P435" s="1768"/>
      <c r="Q435" s="1768"/>
      <c r="R435" s="1768"/>
      <c r="S435" s="1768"/>
      <c r="T435" s="1768"/>
      <c r="U435" s="1768"/>
      <c r="V435" s="1768"/>
      <c r="W435" s="1768"/>
      <c r="X435" s="1767"/>
      <c r="Y435" s="1914"/>
      <c r="Z435" s="1913"/>
      <c r="AA435" s="1913"/>
      <c r="AB435" s="1794"/>
      <c r="AC435" s="1954"/>
      <c r="AD435" s="1954"/>
      <c r="AE435" s="1954"/>
      <c r="AF435" s="1954"/>
      <c r="AI435" s="1735" t="str">
        <f>"2A:sougei_code:" &amp; IF(I435="■",1,IF(M435="■",2,0))</f>
        <v>2A:sougei_code:0</v>
      </c>
    </row>
    <row r="436" spans="1:35" s="1735" customFormat="1" ht="19.5" hidden="1" customHeight="1">
      <c r="A436" s="1776" t="s">
        <v>194</v>
      </c>
      <c r="B436" s="2004" t="s">
        <v>1669</v>
      </c>
      <c r="C436" s="1764" t="s">
        <v>1668</v>
      </c>
      <c r="D436" s="1878" t="s">
        <v>194</v>
      </c>
      <c r="E436" s="1793" t="s">
        <v>1673</v>
      </c>
      <c r="F436" s="1878" t="s">
        <v>194</v>
      </c>
      <c r="G436" s="1762" t="s">
        <v>1600</v>
      </c>
      <c r="H436" s="1792" t="s">
        <v>1516</v>
      </c>
      <c r="I436" s="1773" t="s">
        <v>194</v>
      </c>
      <c r="J436" s="1754" t="s">
        <v>750</v>
      </c>
      <c r="K436" s="1754"/>
      <c r="L436" s="1772" t="s">
        <v>194</v>
      </c>
      <c r="M436" s="1754" t="s">
        <v>764</v>
      </c>
      <c r="N436" s="1754"/>
      <c r="O436" s="1768"/>
      <c r="P436" s="1754"/>
      <c r="Q436" s="1768"/>
      <c r="R436" s="1768"/>
      <c r="S436" s="1768"/>
      <c r="T436" s="1768"/>
      <c r="U436" s="1768"/>
      <c r="V436" s="1768"/>
      <c r="W436" s="1768"/>
      <c r="X436" s="1767"/>
      <c r="Y436" s="1913"/>
      <c r="Z436" s="1913"/>
      <c r="AA436" s="1913"/>
      <c r="AB436" s="1794"/>
      <c r="AC436" s="1954"/>
      <c r="AD436" s="1954"/>
      <c r="AE436" s="1954"/>
      <c r="AF436" s="1954"/>
      <c r="AI436" s="1735" t="str">
        <f>"2A:field224:" &amp; IF(I436="■",1,IF(L436="■",2,0))</f>
        <v>2A:field224:0</v>
      </c>
    </row>
    <row r="437" spans="1:35" s="1735" customFormat="1" ht="18.75" hidden="1" customHeight="1">
      <c r="A437" s="2005"/>
      <c r="B437" s="2004"/>
      <c r="C437" s="1764"/>
      <c r="D437" s="1763"/>
      <c r="E437" s="1793"/>
      <c r="F437" s="1878" t="s">
        <v>194</v>
      </c>
      <c r="G437" s="1762" t="s">
        <v>1599</v>
      </c>
      <c r="H437" s="1769" t="s">
        <v>787</v>
      </c>
      <c r="I437" s="1773" t="s">
        <v>194</v>
      </c>
      <c r="J437" s="1754" t="s">
        <v>750</v>
      </c>
      <c r="K437" s="1789"/>
      <c r="L437" s="1772" t="s">
        <v>194</v>
      </c>
      <c r="M437" s="1754" t="s">
        <v>764</v>
      </c>
      <c r="N437" s="1768"/>
      <c r="O437" s="1768"/>
      <c r="P437" s="1768"/>
      <c r="Q437" s="1768"/>
      <c r="R437" s="1768"/>
      <c r="S437" s="1768"/>
      <c r="T437" s="1768"/>
      <c r="U437" s="1768"/>
      <c r="V437" s="1768"/>
      <c r="W437" s="1768"/>
      <c r="X437" s="1767"/>
      <c r="Y437" s="1914"/>
      <c r="Z437" s="1913"/>
      <c r="AA437" s="1913"/>
      <c r="AB437" s="1794"/>
      <c r="AC437" s="1954"/>
      <c r="AD437" s="1954"/>
      <c r="AE437" s="1954"/>
      <c r="AF437" s="1954"/>
      <c r="AI437" s="1735" t="str">
        <f>"2A:ryouyoushoku_code:" &amp; IF(I437="■",1,IF(L437="■",2,0))</f>
        <v>2A:ryouyoushoku_code:0</v>
      </c>
    </row>
    <row r="438" spans="1:35" s="1735" customFormat="1" ht="18.75" hidden="1" customHeight="1">
      <c r="A438" s="2005"/>
      <c r="B438" s="2004"/>
      <c r="C438" s="1764"/>
      <c r="D438" s="1763"/>
      <c r="E438" s="1793"/>
      <c r="F438" s="1763"/>
      <c r="G438" s="1762"/>
      <c r="H438" s="1769" t="s">
        <v>791</v>
      </c>
      <c r="I438" s="1773" t="s">
        <v>194</v>
      </c>
      <c r="J438" s="1754" t="s">
        <v>750</v>
      </c>
      <c r="K438" s="1754"/>
      <c r="L438" s="1772" t="s">
        <v>194</v>
      </c>
      <c r="M438" s="1754" t="s">
        <v>784</v>
      </c>
      <c r="N438" s="1754"/>
      <c r="O438" s="1772" t="s">
        <v>194</v>
      </c>
      <c r="P438" s="1754" t="s">
        <v>785</v>
      </c>
      <c r="Q438" s="1768"/>
      <c r="R438" s="1768"/>
      <c r="S438" s="1768"/>
      <c r="T438" s="1768"/>
      <c r="U438" s="1768"/>
      <c r="V438" s="1768"/>
      <c r="W438" s="1768"/>
      <c r="X438" s="1767"/>
      <c r="Y438" s="1914"/>
      <c r="Z438" s="1913"/>
      <c r="AA438" s="1913"/>
      <c r="AB438" s="1794"/>
      <c r="AC438" s="1954"/>
      <c r="AD438" s="1954"/>
      <c r="AE438" s="1954"/>
      <c r="AF438" s="1954"/>
      <c r="AI438" s="1735" t="str">
        <f>"2A:ninti_senmoncare_code:" &amp; IF(I438="■",1,IF(O438="■",3,IF(L438="■",2,0)))</f>
        <v>2A:ninti_senmoncare_code:0</v>
      </c>
    </row>
    <row r="439" spans="1:35" s="1735" customFormat="1" ht="18.75" hidden="1" customHeight="1">
      <c r="A439" s="2005"/>
      <c r="B439" s="2004"/>
      <c r="C439" s="1764"/>
      <c r="D439" s="1763"/>
      <c r="E439" s="1793"/>
      <c r="F439" s="1763"/>
      <c r="G439" s="1762"/>
      <c r="H439" s="1769" t="s">
        <v>1573</v>
      </c>
      <c r="I439" s="1773" t="s">
        <v>194</v>
      </c>
      <c r="J439" s="1754" t="s">
        <v>750</v>
      </c>
      <c r="K439" s="1754"/>
      <c r="L439" s="1772" t="s">
        <v>194</v>
      </c>
      <c r="M439" s="1754" t="s">
        <v>784</v>
      </c>
      <c r="N439" s="1754"/>
      <c r="O439" s="1772" t="s">
        <v>194</v>
      </c>
      <c r="P439" s="1754" t="s">
        <v>785</v>
      </c>
      <c r="Q439" s="1768"/>
      <c r="R439" s="1768"/>
      <c r="S439" s="1768"/>
      <c r="T439" s="1768"/>
      <c r="U439" s="1768"/>
      <c r="V439" s="1768"/>
      <c r="W439" s="1768"/>
      <c r="X439" s="1767"/>
      <c r="Y439" s="1914"/>
      <c r="Z439" s="1913"/>
      <c r="AA439" s="1913"/>
      <c r="AB439" s="1794"/>
      <c r="AC439" s="1954"/>
      <c r="AD439" s="1954"/>
      <c r="AE439" s="1954"/>
      <c r="AF439" s="1954"/>
      <c r="AI439" s="1735" t="str">
        <f>"2A:field164:" &amp; IF(I439="■",1,IF(L439="■",2,IF(O439="■",3,0)))</f>
        <v>2A:field164:0</v>
      </c>
    </row>
    <row r="440" spans="1:35" s="1735" customFormat="1" ht="18.75" hidden="1" customHeight="1">
      <c r="A440" s="2005"/>
      <c r="B440" s="2004"/>
      <c r="C440" s="1764"/>
      <c r="D440" s="1763"/>
      <c r="E440" s="1793"/>
      <c r="F440" s="1763"/>
      <c r="G440" s="1762"/>
      <c r="H440" s="1925" t="s">
        <v>1672</v>
      </c>
      <c r="I440" s="1924" t="s">
        <v>194</v>
      </c>
      <c r="J440" s="1923" t="s">
        <v>1589</v>
      </c>
      <c r="K440" s="1923"/>
      <c r="L440" s="1829"/>
      <c r="M440" s="1829"/>
      <c r="N440" s="1829"/>
      <c r="O440" s="1829"/>
      <c r="P440" s="1922" t="s">
        <v>194</v>
      </c>
      <c r="Q440" s="1923" t="s">
        <v>1588</v>
      </c>
      <c r="R440" s="1829"/>
      <c r="S440" s="1829"/>
      <c r="T440" s="1829"/>
      <c r="U440" s="1829"/>
      <c r="V440" s="1829"/>
      <c r="W440" s="1829"/>
      <c r="X440" s="1828"/>
      <c r="Y440" s="1914"/>
      <c r="Z440" s="1913"/>
      <c r="AA440" s="1913"/>
      <c r="AB440" s="1794"/>
      <c r="AC440" s="1954"/>
      <c r="AD440" s="1954"/>
      <c r="AE440" s="1954"/>
      <c r="AF440" s="1954"/>
      <c r="AI440" s="1735" t="str">
        <f>"2A:" &amp; IF(AND(I440="□",P440="□",I441="□"),"tokusin_jyusho_code:0:tokusin_yakuzai_code:0:shuudan_comu_code:0",IF(I440="■","tokusin_jyusho_code:2","tokusin_jyusho_code:1")
&amp;IF(P440="■",":tokusin_yakuzai_code:2",":tokusin_yakuzai_code:1")
&amp;IF(I441="■",":shuudan_comu_code:2",":shuudan_comu_code:1"))</f>
        <v>2A:tokusin_jyusho_code:0:tokusin_yakuzai_code:0:shuudan_comu_code:0</v>
      </c>
    </row>
    <row r="441" spans="1:35" s="1735" customFormat="1" ht="18.75" hidden="1" customHeight="1">
      <c r="A441" s="2005"/>
      <c r="B441" s="2004"/>
      <c r="C441" s="1764"/>
      <c r="D441" s="1763"/>
      <c r="E441" s="1793"/>
      <c r="F441" s="1763"/>
      <c r="G441" s="1762"/>
      <c r="H441" s="1921"/>
      <c r="I441" s="1758" t="s">
        <v>194</v>
      </c>
      <c r="J441" s="1756" t="s">
        <v>1585</v>
      </c>
      <c r="K441" s="1827"/>
      <c r="L441" s="1827"/>
      <c r="M441" s="1827"/>
      <c r="N441" s="1827"/>
      <c r="O441" s="1827"/>
      <c r="P441" s="1827"/>
      <c r="Q441" s="1780"/>
      <c r="R441" s="1827"/>
      <c r="S441" s="1827"/>
      <c r="T441" s="1827"/>
      <c r="U441" s="1827"/>
      <c r="V441" s="1827"/>
      <c r="W441" s="1827"/>
      <c r="X441" s="1826"/>
      <c r="Y441" s="1914"/>
      <c r="Z441" s="1913"/>
      <c r="AA441" s="1913"/>
      <c r="AB441" s="1794"/>
      <c r="AC441" s="1954"/>
      <c r="AD441" s="1954"/>
      <c r="AE441" s="1954"/>
      <c r="AF441" s="1954"/>
    </row>
    <row r="442" spans="1:35" s="1735" customFormat="1" ht="18.75" hidden="1" customHeight="1">
      <c r="A442" s="2005"/>
      <c r="B442" s="2004"/>
      <c r="C442" s="1764"/>
      <c r="D442" s="1763"/>
      <c r="E442" s="1793"/>
      <c r="F442" s="1763"/>
      <c r="G442" s="1762"/>
      <c r="H442" s="1925" t="s">
        <v>1584</v>
      </c>
      <c r="I442" s="1924" t="s">
        <v>194</v>
      </c>
      <c r="J442" s="1923" t="s">
        <v>1583</v>
      </c>
      <c r="K442" s="1938"/>
      <c r="L442" s="1937"/>
      <c r="M442" s="1922" t="s">
        <v>194</v>
      </c>
      <c r="N442" s="1923" t="s">
        <v>1582</v>
      </c>
      <c r="O442" s="1829"/>
      <c r="P442" s="1829"/>
      <c r="Q442" s="1922" t="s">
        <v>194</v>
      </c>
      <c r="R442" s="1923" t="s">
        <v>1581</v>
      </c>
      <c r="S442" s="1829"/>
      <c r="T442" s="1829"/>
      <c r="U442" s="1829"/>
      <c r="V442" s="1829"/>
      <c r="W442" s="1829"/>
      <c r="X442" s="1828"/>
      <c r="Y442" s="1914"/>
      <c r="Z442" s="1913"/>
      <c r="AA442" s="1913"/>
      <c r="AB442" s="1794"/>
      <c r="AC442" s="1954"/>
      <c r="AD442" s="1954"/>
      <c r="AE442" s="1954"/>
      <c r="AF442" s="1954"/>
      <c r="AI442" s="1735" t="str">
        <f>"2A:"&amp;IF(AND(I442="□",M442="□",Q442="□",I443="□",Q443="□"),"koriha_rryoho1_code:0:koriha_sryoho_code:0:koriha_gengo_code:0:riha_seisin_code:0:koriha_other_code:0",IF(I442="■","koriha_rryoho1_code:2","koriha_rryoho1_code:1")
&amp;IF(M442="■",":koriha_sryoho_code:2",":koriha_sryoho_code:1")
&amp;IF(Q442="■",":koriha_gengo_code:2",":koriha_gengo_code:1")
&amp;IF(I443="■",":riha_seisin_code:2",":riha_seisin_code:1")
&amp;IF(Q443="■",":koriha_other_code:2",":koriha_other_code:1"))</f>
        <v>2A:koriha_rryoho1_code:0:koriha_sryoho_code:0:koriha_gengo_code:0:riha_seisin_code:0:koriha_other_code:0</v>
      </c>
    </row>
    <row r="443" spans="1:35" s="1735" customFormat="1" ht="18.75" hidden="1" customHeight="1">
      <c r="A443" s="2005"/>
      <c r="B443" s="2004"/>
      <c r="C443" s="1764"/>
      <c r="D443" s="1763"/>
      <c r="E443" s="1793"/>
      <c r="F443" s="1763"/>
      <c r="G443" s="1762"/>
      <c r="H443" s="1921"/>
      <c r="I443" s="1758" t="s">
        <v>194</v>
      </c>
      <c r="J443" s="1756" t="s">
        <v>1580</v>
      </c>
      <c r="K443" s="1827"/>
      <c r="L443" s="1827"/>
      <c r="M443" s="1827"/>
      <c r="N443" s="1827"/>
      <c r="O443" s="1827"/>
      <c r="P443" s="1827"/>
      <c r="Q443" s="1757" t="s">
        <v>194</v>
      </c>
      <c r="R443" s="1756" t="s">
        <v>1579</v>
      </c>
      <c r="S443" s="1780"/>
      <c r="T443" s="1827"/>
      <c r="U443" s="1827"/>
      <c r="V443" s="1827"/>
      <c r="W443" s="1827"/>
      <c r="X443" s="1826"/>
      <c r="Y443" s="1914"/>
      <c r="Z443" s="1913"/>
      <c r="AA443" s="1913"/>
      <c r="AB443" s="1794"/>
      <c r="AC443" s="1954"/>
      <c r="AD443" s="1954"/>
      <c r="AE443" s="1954"/>
      <c r="AF443" s="1954"/>
    </row>
    <row r="444" spans="1:35" s="1735" customFormat="1" ht="18.75" hidden="1" customHeight="1">
      <c r="A444" s="2005"/>
      <c r="B444" s="2004"/>
      <c r="C444" s="1764"/>
      <c r="D444" s="1763"/>
      <c r="E444" s="1793"/>
      <c r="F444" s="1763"/>
      <c r="G444" s="1762"/>
      <c r="H444" s="1917" t="s">
        <v>794</v>
      </c>
      <c r="I444" s="1773" t="s">
        <v>194</v>
      </c>
      <c r="J444" s="1754" t="s">
        <v>750</v>
      </c>
      <c r="K444" s="1754"/>
      <c r="L444" s="1772" t="s">
        <v>194</v>
      </c>
      <c r="M444" s="1754" t="s">
        <v>784</v>
      </c>
      <c r="N444" s="1754"/>
      <c r="O444" s="1772" t="s">
        <v>194</v>
      </c>
      <c r="P444" s="1754" t="s">
        <v>785</v>
      </c>
      <c r="Q444" s="1768"/>
      <c r="R444" s="1768"/>
      <c r="S444" s="1768"/>
      <c r="T444" s="1768"/>
      <c r="U444" s="1829"/>
      <c r="V444" s="1829"/>
      <c r="W444" s="1829"/>
      <c r="X444" s="1828"/>
      <c r="Y444" s="1914"/>
      <c r="Z444" s="1913"/>
      <c r="AA444" s="1913"/>
      <c r="AB444" s="1794"/>
      <c r="AC444" s="1954"/>
      <c r="AD444" s="1954"/>
      <c r="AE444" s="1954"/>
      <c r="AF444" s="1954"/>
      <c r="AI444" s="1735" t="str">
        <f>"2A:field225:" &amp; IF(I444="■",1,IF(L444="■",2,IF(O444="■",3,0)))</f>
        <v>2A:field225:0</v>
      </c>
    </row>
    <row r="445" spans="1:35" s="1735" customFormat="1" ht="18.75" hidden="1" customHeight="1">
      <c r="A445" s="2005"/>
      <c r="B445" s="2004"/>
      <c r="C445" s="1764"/>
      <c r="D445" s="1763"/>
      <c r="E445" s="1793"/>
      <c r="F445" s="1763"/>
      <c r="G445" s="1762"/>
      <c r="H445" s="1759" t="s">
        <v>795</v>
      </c>
      <c r="I445" s="1773" t="s">
        <v>194</v>
      </c>
      <c r="J445" s="1754" t="s">
        <v>750</v>
      </c>
      <c r="K445" s="1754"/>
      <c r="L445" s="1772" t="s">
        <v>194</v>
      </c>
      <c r="M445" s="1754" t="s">
        <v>796</v>
      </c>
      <c r="N445" s="1754"/>
      <c r="O445" s="1772" t="s">
        <v>194</v>
      </c>
      <c r="P445" s="1754" t="s">
        <v>797</v>
      </c>
      <c r="Q445" s="1771"/>
      <c r="R445" s="1772" t="s">
        <v>194</v>
      </c>
      <c r="S445" s="1754" t="s">
        <v>798</v>
      </c>
      <c r="T445" s="1771"/>
      <c r="U445" s="1771"/>
      <c r="V445" s="1771"/>
      <c r="W445" s="1771"/>
      <c r="X445" s="1770"/>
      <c r="Y445" s="1914"/>
      <c r="Z445" s="1913"/>
      <c r="AA445" s="1913"/>
      <c r="AB445" s="1794"/>
      <c r="AC445" s="1954"/>
      <c r="AD445" s="1954"/>
      <c r="AE445" s="1954"/>
      <c r="AF445" s="1954"/>
      <c r="AI445" s="1735" t="str">
        <f>"2A:serteikyo_kyoka_code:" &amp; IF(I445="■",1,IF(L445="■",6,IF(O445="■",5,IF(R445="■",7,0))))</f>
        <v>2A:serteikyo_kyoka_code:0</v>
      </c>
    </row>
    <row r="446" spans="1:35" s="1735" customFormat="1" ht="18.75" hidden="1" customHeight="1">
      <c r="A446" s="2005"/>
      <c r="B446" s="2004"/>
      <c r="C446" s="1764"/>
      <c r="D446" s="1763"/>
      <c r="E446" s="1793"/>
      <c r="F446" s="1763"/>
      <c r="G446" s="1762"/>
      <c r="H446" s="1788" t="s">
        <v>1665</v>
      </c>
      <c r="I446" s="1969" t="s">
        <v>194</v>
      </c>
      <c r="J446" s="1968" t="s">
        <v>750</v>
      </c>
      <c r="K446" s="1968"/>
      <c r="L446" s="1967" t="s">
        <v>194</v>
      </c>
      <c r="M446" s="1968" t="s">
        <v>764</v>
      </c>
      <c r="N446" s="1968"/>
      <c r="O446" s="1923"/>
      <c r="P446" s="1923"/>
      <c r="Q446" s="1923"/>
      <c r="R446" s="1923"/>
      <c r="S446" s="1923"/>
      <c r="T446" s="1923"/>
      <c r="U446" s="1923"/>
      <c r="V446" s="1923"/>
      <c r="W446" s="1923"/>
      <c r="X446" s="1956"/>
      <c r="Y446" s="1914"/>
      <c r="Z446" s="1913"/>
      <c r="AA446" s="1913"/>
      <c r="AB446" s="1794"/>
      <c r="AC446" s="1954"/>
      <c r="AD446" s="1954"/>
      <c r="AE446" s="1954"/>
      <c r="AF446" s="1954"/>
      <c r="AI446" s="1735" t="str">
        <f>"2A:field221:" &amp; IF(I446="■",1,IF(L446="■",2,0))</f>
        <v>2A:field221:0</v>
      </c>
    </row>
    <row r="447" spans="1:35" s="1735" customFormat="1" ht="18.75" hidden="1" customHeight="1">
      <c r="A447" s="2005"/>
      <c r="B447" s="2004"/>
      <c r="C447" s="1764"/>
      <c r="D447" s="1763"/>
      <c r="E447" s="1793"/>
      <c r="F447" s="1763"/>
      <c r="G447" s="1762"/>
      <c r="H447" s="1783"/>
      <c r="I447" s="1969"/>
      <c r="J447" s="1968"/>
      <c r="K447" s="1968"/>
      <c r="L447" s="1967"/>
      <c r="M447" s="1968"/>
      <c r="N447" s="1968"/>
      <c r="O447" s="1756"/>
      <c r="P447" s="1756"/>
      <c r="Q447" s="1756"/>
      <c r="R447" s="1756"/>
      <c r="S447" s="1756"/>
      <c r="T447" s="1756"/>
      <c r="U447" s="1756"/>
      <c r="V447" s="1756"/>
      <c r="W447" s="1756"/>
      <c r="X447" s="1814"/>
      <c r="Y447" s="1914"/>
      <c r="Z447" s="1913"/>
      <c r="AA447" s="1913"/>
      <c r="AB447" s="1794"/>
      <c r="AC447" s="1954"/>
      <c r="AD447" s="1954"/>
      <c r="AE447" s="1954"/>
      <c r="AF447" s="1954"/>
    </row>
    <row r="448" spans="1:35" s="1735" customFormat="1" ht="18.75" hidden="1" customHeight="1">
      <c r="A448" s="1766"/>
      <c r="B448" s="1765"/>
      <c r="C448" s="1764"/>
      <c r="D448" s="1763"/>
      <c r="E448" s="1762"/>
      <c r="F448" s="1761"/>
      <c r="G448" s="1793"/>
      <c r="H448" s="1952" t="s">
        <v>1553</v>
      </c>
      <c r="I448" s="1924" t="s">
        <v>194</v>
      </c>
      <c r="J448" s="1948" t="s">
        <v>750</v>
      </c>
      <c r="K448" s="1948"/>
      <c r="L448" s="1922" t="s">
        <v>194</v>
      </c>
      <c r="M448" s="1948" t="s">
        <v>1552</v>
      </c>
      <c r="N448" s="1951"/>
      <c r="O448" s="1922" t="s">
        <v>194</v>
      </c>
      <c r="P448" s="1950" t="s">
        <v>1551</v>
      </c>
      <c r="Q448" s="1949"/>
      <c r="R448" s="1922" t="s">
        <v>194</v>
      </c>
      <c r="S448" s="1948" t="s">
        <v>1550</v>
      </c>
      <c r="T448" s="1949"/>
      <c r="U448" s="1922" t="s">
        <v>194</v>
      </c>
      <c r="V448" s="1948" t="s">
        <v>1549</v>
      </c>
      <c r="W448" s="1947"/>
      <c r="X448" s="1946"/>
      <c r="Y448" s="1913"/>
      <c r="Z448" s="1913"/>
      <c r="AA448" s="1913"/>
      <c r="AB448" s="1794"/>
      <c r="AC448" s="1954"/>
      <c r="AD448" s="1954"/>
      <c r="AE448" s="1954"/>
      <c r="AF448" s="1954"/>
      <c r="AI448" s="1735" t="str">
        <f>"2A:shoguukaizen_code:"&amp;IF(I448="■",1,IF(L448="■",7,IF(O448="■",8,IF(R448="■",9,IF(U448="■","A",0)))))</f>
        <v>2A:shoguukaizen_code:0</v>
      </c>
    </row>
    <row r="449" spans="1:36" s="1735" customFormat="1" ht="18.75" hidden="1" customHeight="1">
      <c r="A449" s="2009"/>
      <c r="B449" s="2008"/>
      <c r="C449" s="1849"/>
      <c r="D449" s="1848"/>
      <c r="E449" s="1802"/>
      <c r="F449" s="1848"/>
      <c r="G449" s="1804"/>
      <c r="H449" s="1885" t="s">
        <v>746</v>
      </c>
      <c r="I449" s="1873" t="s">
        <v>194</v>
      </c>
      <c r="J449" s="1872" t="s">
        <v>747</v>
      </c>
      <c r="K449" s="1932"/>
      <c r="L449" s="2007"/>
      <c r="M449" s="1931" t="s">
        <v>194</v>
      </c>
      <c r="N449" s="1872" t="s">
        <v>1572</v>
      </c>
      <c r="O449" s="1930"/>
      <c r="P449" s="1930"/>
      <c r="Q449" s="1931" t="s">
        <v>194</v>
      </c>
      <c r="R449" s="1872" t="s">
        <v>1571</v>
      </c>
      <c r="S449" s="1930"/>
      <c r="T449" s="1930"/>
      <c r="U449" s="1931" t="s">
        <v>194</v>
      </c>
      <c r="V449" s="1872" t="s">
        <v>1570</v>
      </c>
      <c r="W449" s="1930"/>
      <c r="X449" s="1886"/>
      <c r="Y449" s="1873" t="s">
        <v>194</v>
      </c>
      <c r="Z449" s="1872" t="s">
        <v>749</v>
      </c>
      <c r="AA449" s="1872"/>
      <c r="AB449" s="1929"/>
      <c r="AC449" s="1959"/>
      <c r="AD449" s="1959"/>
      <c r="AE449" s="1959"/>
      <c r="AF449" s="1959"/>
      <c r="AG449" s="1735" t="str">
        <f>"ser_code = '" &amp; IF(A458="■","2A","") &amp; "'"</f>
        <v>ser_code = ''</v>
      </c>
      <c r="AH449" s="1735" t="str">
        <f>"2A:jininkbn_code:"&amp;IF(F458="■",1,0)</f>
        <v>2A:jininkbn_code:0</v>
      </c>
      <c r="AI449" s="1735" t="str">
        <f>"2A:yakan_kinmu_code:" &amp; IF(I449="■",1,IF(M449="■",2,IF(Q449="■",3,IF(U449="■",7,IF(I450="■",5,IF(M450="■",6,0))))))</f>
        <v>2A:yakan_kinmu_code:0</v>
      </c>
      <c r="AJ449" s="1735" t="str">
        <f>"2A:field203:" &amp; IF(Y449="■",1,IF(Y450="■",2,0))</f>
        <v>2A:field203:0</v>
      </c>
    </row>
    <row r="450" spans="1:36" s="1735" customFormat="1" ht="18.75" hidden="1" customHeight="1">
      <c r="A450" s="2005"/>
      <c r="B450" s="2004"/>
      <c r="C450" s="1764"/>
      <c r="D450" s="1763"/>
      <c r="E450" s="1793"/>
      <c r="F450" s="1763"/>
      <c r="G450" s="1762"/>
      <c r="H450" s="1921"/>
      <c r="I450" s="1758" t="s">
        <v>194</v>
      </c>
      <c r="J450" s="1756" t="s">
        <v>1569</v>
      </c>
      <c r="K450" s="1755"/>
      <c r="L450" s="2006"/>
      <c r="M450" s="1757" t="s">
        <v>194</v>
      </c>
      <c r="N450" s="1756" t="s">
        <v>748</v>
      </c>
      <c r="O450" s="1780"/>
      <c r="P450" s="1780"/>
      <c r="Q450" s="1780"/>
      <c r="R450" s="1780"/>
      <c r="S450" s="1780"/>
      <c r="T450" s="1780"/>
      <c r="U450" s="1780"/>
      <c r="V450" s="1780"/>
      <c r="W450" s="1780"/>
      <c r="X450" s="1779"/>
      <c r="Y450" s="1878" t="s">
        <v>194</v>
      </c>
      <c r="Z450" s="1738" t="s">
        <v>754</v>
      </c>
      <c r="AA450" s="1913"/>
      <c r="AB450" s="1794"/>
      <c r="AC450" s="1970"/>
      <c r="AD450" s="1970"/>
      <c r="AE450" s="1970"/>
      <c r="AF450" s="1970"/>
      <c r="AG450" s="1735" t="str">
        <f>"2A:sisetukbn_code:"&amp;IF(D458="■","3",0)</f>
        <v>2A:sisetukbn_code:0</v>
      </c>
    </row>
    <row r="451" spans="1:36" s="1735" customFormat="1" ht="18.75" hidden="1" customHeight="1">
      <c r="A451" s="2005"/>
      <c r="B451" s="2004"/>
      <c r="C451" s="1764"/>
      <c r="D451" s="1763"/>
      <c r="E451" s="1793"/>
      <c r="F451" s="1763"/>
      <c r="G451" s="1762"/>
      <c r="H451" s="1925" t="s">
        <v>98</v>
      </c>
      <c r="I451" s="1924" t="s">
        <v>194</v>
      </c>
      <c r="J451" s="1923" t="s">
        <v>750</v>
      </c>
      <c r="K451" s="1923"/>
      <c r="L451" s="1937"/>
      <c r="M451" s="1922" t="s">
        <v>194</v>
      </c>
      <c r="N451" s="1923" t="s">
        <v>1568</v>
      </c>
      <c r="O451" s="1923"/>
      <c r="P451" s="1937"/>
      <c r="Q451" s="1922" t="s">
        <v>194</v>
      </c>
      <c r="R451" s="1785" t="s">
        <v>1567</v>
      </c>
      <c r="S451" s="1785"/>
      <c r="T451" s="1785"/>
      <c r="U451" s="1829"/>
      <c r="V451" s="1937"/>
      <c r="W451" s="1785"/>
      <c r="X451" s="1828"/>
      <c r="Y451" s="1914"/>
      <c r="Z451" s="1913"/>
      <c r="AA451" s="1913"/>
      <c r="AB451" s="1794"/>
      <c r="AC451" s="1954"/>
      <c r="AD451" s="1954"/>
      <c r="AE451" s="1954"/>
      <c r="AF451" s="1954"/>
      <c r="AI451" s="1735" t="str">
        <f>"2A:"&amp;IF(AND(I451="□",M451="□",Q451="□",I452="□",M452="□"),"ketu_doctor_code:0",IF(I451="■","ketu_doctor_code:1:field197:1:ketu_kangos_code:1:ketu_kshoku_code:1",IF(M451="■","ketu_doctor_code:2","ketu_doctor_code:1")
&amp;IF(Q451="■",":field197:2",":field197:1")
&amp;IF(I452="■",":ketu_kangos_code:2",":ketu_kangos_code:1")
&amp;IF(M452="■",":ketu_kshoku_code:2",":ketu_kshoku_code:1")))</f>
        <v>2A:ketu_doctor_code:0</v>
      </c>
    </row>
    <row r="452" spans="1:36" s="1735" customFormat="1" ht="18.75" hidden="1" customHeight="1">
      <c r="A452" s="2005"/>
      <c r="B452" s="2004"/>
      <c r="C452" s="1764"/>
      <c r="D452" s="1763"/>
      <c r="E452" s="1793"/>
      <c r="F452" s="1763"/>
      <c r="G452" s="1762"/>
      <c r="H452" s="1921"/>
      <c r="I452" s="1758" t="s">
        <v>194</v>
      </c>
      <c r="J452" s="1780" t="s">
        <v>1566</v>
      </c>
      <c r="K452" s="1780"/>
      <c r="L452" s="1780"/>
      <c r="M452" s="1757" t="s">
        <v>194</v>
      </c>
      <c r="N452" s="1780" t="s">
        <v>1565</v>
      </c>
      <c r="O452" s="2006"/>
      <c r="P452" s="1780"/>
      <c r="Q452" s="1780"/>
      <c r="R452" s="2006"/>
      <c r="S452" s="1780"/>
      <c r="T452" s="1780"/>
      <c r="U452" s="1827"/>
      <c r="V452" s="2006"/>
      <c r="W452" s="1780"/>
      <c r="X452" s="1826"/>
      <c r="Y452" s="1914"/>
      <c r="Z452" s="1913"/>
      <c r="AA452" s="1913"/>
      <c r="AB452" s="1794"/>
      <c r="AC452" s="1954"/>
      <c r="AD452" s="1954"/>
      <c r="AE452" s="1954"/>
      <c r="AF452" s="1954"/>
    </row>
    <row r="453" spans="1:36" s="1735" customFormat="1" ht="18.75" hidden="1" customHeight="1">
      <c r="A453" s="1766"/>
      <c r="B453" s="1765"/>
      <c r="C453" s="1916"/>
      <c r="D453" s="1915"/>
      <c r="E453" s="1762"/>
      <c r="F453" s="1761"/>
      <c r="G453" s="1793"/>
      <c r="H453" s="2002" t="s">
        <v>757</v>
      </c>
      <c r="I453" s="1842" t="s">
        <v>194</v>
      </c>
      <c r="J453" s="1837" t="s">
        <v>758</v>
      </c>
      <c r="K453" s="1841"/>
      <c r="L453" s="1840"/>
      <c r="M453" s="1839" t="s">
        <v>194</v>
      </c>
      <c r="N453" s="1837" t="s">
        <v>759</v>
      </c>
      <c r="O453" s="1841"/>
      <c r="P453" s="2001"/>
      <c r="Q453" s="2001"/>
      <c r="R453" s="2001"/>
      <c r="S453" s="2001"/>
      <c r="T453" s="2001"/>
      <c r="U453" s="2001"/>
      <c r="V453" s="2001"/>
      <c r="W453" s="2001"/>
      <c r="X453" s="2000"/>
      <c r="Y453" s="1914"/>
      <c r="Z453" s="1913"/>
      <c r="AA453" s="1913"/>
      <c r="AB453" s="1794"/>
      <c r="AC453" s="1954"/>
      <c r="AD453" s="1954"/>
      <c r="AE453" s="1954"/>
      <c r="AF453" s="1954"/>
      <c r="AI453" s="1735" t="str">
        <f>"2A:sintaikousoku_code:" &amp; IF(I453="■",1,IF(M453="■",2,0))</f>
        <v>2A:sintaikousoku_code:0</v>
      </c>
    </row>
    <row r="454" spans="1:36" s="1735" customFormat="1" ht="19.5" hidden="1" customHeight="1">
      <c r="A454" s="1766"/>
      <c r="B454" s="1765"/>
      <c r="C454" s="1764"/>
      <c r="D454" s="1763"/>
      <c r="E454" s="1762"/>
      <c r="F454" s="1761"/>
      <c r="G454" s="1793"/>
      <c r="H454" s="1792" t="s">
        <v>760</v>
      </c>
      <c r="I454" s="1773" t="s">
        <v>194</v>
      </c>
      <c r="J454" s="1754" t="s">
        <v>758</v>
      </c>
      <c r="K454" s="1789"/>
      <c r="L454" s="1791"/>
      <c r="M454" s="1772" t="s">
        <v>194</v>
      </c>
      <c r="N454" s="1754" t="s">
        <v>761</v>
      </c>
      <c r="O454" s="1920"/>
      <c r="P454" s="1754"/>
      <c r="Q454" s="1768"/>
      <c r="R454" s="1768"/>
      <c r="S454" s="1768"/>
      <c r="T454" s="1768"/>
      <c r="U454" s="1768"/>
      <c r="V454" s="1768"/>
      <c r="W454" s="1768"/>
      <c r="X454" s="1767"/>
      <c r="Y454" s="1913"/>
      <c r="Z454" s="1913"/>
      <c r="AA454" s="1913"/>
      <c r="AB454" s="1794"/>
      <c r="AC454" s="1954"/>
      <c r="AD454" s="1954"/>
      <c r="AE454" s="1954"/>
      <c r="AF454" s="1954"/>
      <c r="AI454" s="1735" t="str">
        <f>"2A:field223:" &amp; IF(I454="■",1,IF(M454="■",2,0))</f>
        <v>2A:field223:0</v>
      </c>
    </row>
    <row r="455" spans="1:36" s="1735" customFormat="1" ht="18.75" hidden="1" customHeight="1">
      <c r="A455" s="2005"/>
      <c r="B455" s="2004"/>
      <c r="C455" s="1764"/>
      <c r="D455" s="1763"/>
      <c r="E455" s="1793"/>
      <c r="F455" s="1763"/>
      <c r="G455" s="1762"/>
      <c r="H455" s="1792" t="s">
        <v>762</v>
      </c>
      <c r="I455" s="1773" t="s">
        <v>194</v>
      </c>
      <c r="J455" s="1754" t="s">
        <v>758</v>
      </c>
      <c r="K455" s="1789"/>
      <c r="L455" s="1791"/>
      <c r="M455" s="1772" t="s">
        <v>194</v>
      </c>
      <c r="N455" s="1754" t="s">
        <v>761</v>
      </c>
      <c r="O455" s="1920"/>
      <c r="P455" s="1754"/>
      <c r="Q455" s="1768"/>
      <c r="R455" s="1768"/>
      <c r="S455" s="1768"/>
      <c r="T455" s="1768"/>
      <c r="U455" s="1768"/>
      <c r="V455" s="1768"/>
      <c r="W455" s="1768"/>
      <c r="X455" s="1767"/>
      <c r="Y455" s="1913"/>
      <c r="Z455" s="1913"/>
      <c r="AA455" s="1913"/>
      <c r="AB455" s="1794"/>
      <c r="AC455" s="1954"/>
      <c r="AD455" s="1954"/>
      <c r="AE455" s="1954"/>
      <c r="AF455" s="1954"/>
      <c r="AI455" s="1735" t="str">
        <f>"2A:field232:" &amp; IF(I455="■",1,IF(M455="■",2,0))</f>
        <v>2A:field232:0</v>
      </c>
    </row>
    <row r="456" spans="1:36" s="1735" customFormat="1" ht="18.75" hidden="1" customHeight="1">
      <c r="A456" s="2005"/>
      <c r="B456" s="2004"/>
      <c r="C456" s="1764"/>
      <c r="D456" s="1763"/>
      <c r="E456" s="1793"/>
      <c r="F456" s="1763"/>
      <c r="G456" s="1762"/>
      <c r="H456" s="1769" t="s">
        <v>1560</v>
      </c>
      <c r="I456" s="1773" t="s">
        <v>194</v>
      </c>
      <c r="J456" s="1754" t="s">
        <v>747</v>
      </c>
      <c r="K456" s="1789"/>
      <c r="L456" s="1791"/>
      <c r="M456" s="1772" t="s">
        <v>194</v>
      </c>
      <c r="N456" s="1754" t="s">
        <v>1556</v>
      </c>
      <c r="O456" s="1768"/>
      <c r="P456" s="1768"/>
      <c r="Q456" s="1768"/>
      <c r="R456" s="1768"/>
      <c r="S456" s="1768"/>
      <c r="T456" s="1768"/>
      <c r="U456" s="1768"/>
      <c r="V456" s="1768"/>
      <c r="W456" s="1768"/>
      <c r="X456" s="1767"/>
      <c r="Y456" s="1914"/>
      <c r="Z456" s="1913"/>
      <c r="AA456" s="1913"/>
      <c r="AB456" s="1794"/>
      <c r="AC456" s="1954"/>
      <c r="AD456" s="1954"/>
      <c r="AE456" s="1954"/>
      <c r="AF456" s="1954"/>
      <c r="AI456" s="1735" t="str">
        <f>"2A:field190:" &amp; IF(I456="■",1,IF(M456="■",2,0))</f>
        <v>2A:field190:0</v>
      </c>
    </row>
    <row r="457" spans="1:36" s="1735" customFormat="1" ht="18.75" hidden="1" customHeight="1">
      <c r="A457" s="2005"/>
      <c r="B457" s="2004"/>
      <c r="C457" s="1764"/>
      <c r="D457" s="1763"/>
      <c r="E457" s="1793"/>
      <c r="F457" s="1763"/>
      <c r="G457" s="1762"/>
      <c r="H457" s="1769" t="s">
        <v>1558</v>
      </c>
      <c r="I457" s="1773" t="s">
        <v>194</v>
      </c>
      <c r="J457" s="1754" t="s">
        <v>747</v>
      </c>
      <c r="K457" s="1789"/>
      <c r="L457" s="1791"/>
      <c r="M457" s="1772" t="s">
        <v>194</v>
      </c>
      <c r="N457" s="1754" t="s">
        <v>1556</v>
      </c>
      <c r="O457" s="1768"/>
      <c r="P457" s="1768"/>
      <c r="Q457" s="1768"/>
      <c r="R457" s="1768"/>
      <c r="S457" s="1768"/>
      <c r="T457" s="1768"/>
      <c r="U457" s="1768"/>
      <c r="V457" s="1768"/>
      <c r="W457" s="1768"/>
      <c r="X457" s="1767"/>
      <c r="Y457" s="1914"/>
      <c r="Z457" s="1913"/>
      <c r="AA457" s="1913"/>
      <c r="AB457" s="1794"/>
      <c r="AC457" s="1954"/>
      <c r="AD457" s="1954"/>
      <c r="AE457" s="1954"/>
      <c r="AF457" s="1954"/>
      <c r="AI457" s="1735" t="str">
        <f>"2A:field191:" &amp; IF(I457="■",1,IF(M457="■",2,0))</f>
        <v>2A:field191:0</v>
      </c>
    </row>
    <row r="458" spans="1:36" s="1735" customFormat="1" ht="18.75" hidden="1" customHeight="1">
      <c r="A458" s="1776" t="s">
        <v>194</v>
      </c>
      <c r="B458" s="2004" t="s">
        <v>1669</v>
      </c>
      <c r="C458" s="1764" t="s">
        <v>1668</v>
      </c>
      <c r="D458" s="1878" t="s">
        <v>194</v>
      </c>
      <c r="E458" s="1793" t="s">
        <v>1598</v>
      </c>
      <c r="F458" s="1878" t="s">
        <v>194</v>
      </c>
      <c r="G458" s="1762" t="s">
        <v>1561</v>
      </c>
      <c r="H458" s="1769" t="s">
        <v>1498</v>
      </c>
      <c r="I458" s="1773" t="s">
        <v>194</v>
      </c>
      <c r="J458" s="1754" t="s">
        <v>750</v>
      </c>
      <c r="K458" s="1789"/>
      <c r="L458" s="1772" t="s">
        <v>194</v>
      </c>
      <c r="M458" s="1754" t="s">
        <v>764</v>
      </c>
      <c r="N458" s="1768"/>
      <c r="O458" s="1768"/>
      <c r="P458" s="1768"/>
      <c r="Q458" s="1768"/>
      <c r="R458" s="1768"/>
      <c r="S458" s="1768"/>
      <c r="T458" s="1768"/>
      <c r="U458" s="1768"/>
      <c r="V458" s="1768"/>
      <c r="W458" s="1768"/>
      <c r="X458" s="1767"/>
      <c r="Y458" s="1914"/>
      <c r="Z458" s="1913"/>
      <c r="AA458" s="1913"/>
      <c r="AB458" s="1794"/>
      <c r="AC458" s="1954"/>
      <c r="AD458" s="1954"/>
      <c r="AE458" s="1954"/>
      <c r="AF458" s="1954"/>
      <c r="AI458" s="1735" t="str">
        <f>"2A:jyakuninti_uke_code:" &amp; IF(I458="■",1,IF(L458="■",2,0))</f>
        <v>2A:jyakuninti_uke_code:0</v>
      </c>
    </row>
    <row r="459" spans="1:36" s="1735" customFormat="1" ht="18.75" hidden="1" customHeight="1">
      <c r="A459" s="2005"/>
      <c r="B459" s="2004"/>
      <c r="C459" s="1764"/>
      <c r="D459" s="1763"/>
      <c r="E459" s="1793"/>
      <c r="F459" s="1763"/>
      <c r="G459" s="1762"/>
      <c r="H459" s="1769" t="s">
        <v>1666</v>
      </c>
      <c r="I459" s="1773" t="s">
        <v>194</v>
      </c>
      <c r="J459" s="1754" t="s">
        <v>755</v>
      </c>
      <c r="K459" s="1789"/>
      <c r="L459" s="1791"/>
      <c r="M459" s="1772" t="s">
        <v>194</v>
      </c>
      <c r="N459" s="1754" t="s">
        <v>756</v>
      </c>
      <c r="O459" s="1768"/>
      <c r="P459" s="1768"/>
      <c r="Q459" s="1768"/>
      <c r="R459" s="1768"/>
      <c r="S459" s="1768"/>
      <c r="T459" s="1768"/>
      <c r="U459" s="1768"/>
      <c r="V459" s="1768"/>
      <c r="W459" s="1768"/>
      <c r="X459" s="1767"/>
      <c r="Y459" s="1914"/>
      <c r="Z459" s="1913"/>
      <c r="AA459" s="1913"/>
      <c r="AB459" s="1794"/>
      <c r="AC459" s="1954"/>
      <c r="AD459" s="1954"/>
      <c r="AE459" s="1954"/>
      <c r="AF459" s="1954"/>
      <c r="AI459" s="1735" t="str">
        <f>"2A:sougei_code:" &amp; IF(I459="■",1,IF(M459="■",2,0))</f>
        <v>2A:sougei_code:0</v>
      </c>
    </row>
    <row r="460" spans="1:36" s="1735" customFormat="1" ht="19.5" hidden="1" customHeight="1">
      <c r="A460" s="2005"/>
      <c r="B460" s="2004"/>
      <c r="C460" s="1764"/>
      <c r="D460" s="1763"/>
      <c r="E460" s="1793"/>
      <c r="F460" s="1763"/>
      <c r="G460" s="1762"/>
      <c r="H460" s="1792" t="s">
        <v>1516</v>
      </c>
      <c r="I460" s="1773" t="s">
        <v>194</v>
      </c>
      <c r="J460" s="1754" t="s">
        <v>750</v>
      </c>
      <c r="K460" s="1754"/>
      <c r="L460" s="1772" t="s">
        <v>194</v>
      </c>
      <c r="M460" s="1754" t="s">
        <v>764</v>
      </c>
      <c r="N460" s="1754"/>
      <c r="O460" s="1768"/>
      <c r="P460" s="1754"/>
      <c r="Q460" s="1768"/>
      <c r="R460" s="1768"/>
      <c r="S460" s="1768"/>
      <c r="T460" s="1768"/>
      <c r="U460" s="1768"/>
      <c r="V460" s="1768"/>
      <c r="W460" s="1768"/>
      <c r="X460" s="1767"/>
      <c r="Y460" s="1913"/>
      <c r="Z460" s="1913"/>
      <c r="AA460" s="1913"/>
      <c r="AB460" s="1794"/>
      <c r="AC460" s="1954"/>
      <c r="AD460" s="1954"/>
      <c r="AE460" s="1954"/>
      <c r="AF460" s="1954"/>
      <c r="AI460" s="1735" t="str">
        <f>"2A:field224:" &amp; IF(I460="■",1,IF(L460="■",2,0))</f>
        <v>2A:field224:0</v>
      </c>
    </row>
    <row r="461" spans="1:36" s="1735" customFormat="1" ht="18.75" hidden="1" customHeight="1">
      <c r="A461" s="2005"/>
      <c r="B461" s="2004"/>
      <c r="C461" s="1764"/>
      <c r="D461" s="1763"/>
      <c r="E461" s="1793"/>
      <c r="F461" s="1763"/>
      <c r="G461" s="1762"/>
      <c r="H461" s="1769" t="s">
        <v>787</v>
      </c>
      <c r="I461" s="1773" t="s">
        <v>194</v>
      </c>
      <c r="J461" s="1754" t="s">
        <v>750</v>
      </c>
      <c r="K461" s="1789"/>
      <c r="L461" s="1772" t="s">
        <v>194</v>
      </c>
      <c r="M461" s="1754" t="s">
        <v>764</v>
      </c>
      <c r="N461" s="1768"/>
      <c r="O461" s="1768"/>
      <c r="P461" s="1768"/>
      <c r="Q461" s="1768"/>
      <c r="R461" s="1768"/>
      <c r="S461" s="1768"/>
      <c r="T461" s="1768"/>
      <c r="U461" s="1768"/>
      <c r="V461" s="1768"/>
      <c r="W461" s="1768"/>
      <c r="X461" s="1767"/>
      <c r="Y461" s="1914"/>
      <c r="Z461" s="1913"/>
      <c r="AA461" s="1913"/>
      <c r="AB461" s="1794"/>
      <c r="AC461" s="1954"/>
      <c r="AD461" s="1954"/>
      <c r="AE461" s="1954"/>
      <c r="AF461" s="1954"/>
      <c r="AI461" s="1735" t="str">
        <f>"2A:ryouyoushoku_code:" &amp; IF(I461="■",1,IF(L461="■",2,0))</f>
        <v>2A:ryouyoushoku_code:0</v>
      </c>
    </row>
    <row r="462" spans="1:36" s="1735" customFormat="1" ht="18.75" hidden="1" customHeight="1">
      <c r="A462" s="2005"/>
      <c r="B462" s="2004"/>
      <c r="C462" s="1764"/>
      <c r="D462" s="1763"/>
      <c r="E462" s="1793"/>
      <c r="F462" s="1763"/>
      <c r="G462" s="1762"/>
      <c r="H462" s="1769" t="s">
        <v>791</v>
      </c>
      <c r="I462" s="1773" t="s">
        <v>194</v>
      </c>
      <c r="J462" s="1754" t="s">
        <v>750</v>
      </c>
      <c r="K462" s="1754"/>
      <c r="L462" s="1772" t="s">
        <v>194</v>
      </c>
      <c r="M462" s="1754" t="s">
        <v>784</v>
      </c>
      <c r="N462" s="1754"/>
      <c r="O462" s="1772" t="s">
        <v>194</v>
      </c>
      <c r="P462" s="1754" t="s">
        <v>785</v>
      </c>
      <c r="Q462" s="1768"/>
      <c r="R462" s="1768"/>
      <c r="S462" s="1768"/>
      <c r="T462" s="1768"/>
      <c r="U462" s="1768"/>
      <c r="V462" s="1768"/>
      <c r="W462" s="1768"/>
      <c r="X462" s="1767"/>
      <c r="Y462" s="1914"/>
      <c r="Z462" s="1913"/>
      <c r="AA462" s="1913"/>
      <c r="AB462" s="1794"/>
      <c r="AC462" s="1954"/>
      <c r="AD462" s="1954"/>
      <c r="AE462" s="1954"/>
      <c r="AF462" s="1954"/>
      <c r="AI462" s="1735" t="str">
        <f>"2A:ninti_senmoncare_code:" &amp; IF(I462="■",1,IF(O462="■",3,IF(L462="■",2,0)))</f>
        <v>2A:ninti_senmoncare_code:0</v>
      </c>
    </row>
    <row r="463" spans="1:36" s="1735" customFormat="1" ht="18.75" hidden="1" customHeight="1">
      <c r="A463" s="2005"/>
      <c r="B463" s="2004"/>
      <c r="C463" s="1764"/>
      <c r="D463" s="1763"/>
      <c r="E463" s="1793"/>
      <c r="F463" s="1763"/>
      <c r="G463" s="1762"/>
      <c r="H463" s="1769" t="s">
        <v>1554</v>
      </c>
      <c r="I463" s="1773" t="s">
        <v>194</v>
      </c>
      <c r="J463" s="1754" t="s">
        <v>750</v>
      </c>
      <c r="K463" s="1754"/>
      <c r="L463" s="1772" t="s">
        <v>194</v>
      </c>
      <c r="M463" s="1754" t="s">
        <v>784</v>
      </c>
      <c r="N463" s="1754"/>
      <c r="O463" s="1772" t="s">
        <v>194</v>
      </c>
      <c r="P463" s="1754" t="s">
        <v>785</v>
      </c>
      <c r="Q463" s="1768"/>
      <c r="R463" s="1768"/>
      <c r="S463" s="1768"/>
      <c r="T463" s="1768"/>
      <c r="U463" s="1768"/>
      <c r="V463" s="1768"/>
      <c r="W463" s="1768"/>
      <c r="X463" s="1767"/>
      <c r="Y463" s="1914"/>
      <c r="Z463" s="1913"/>
      <c r="AA463" s="1913"/>
      <c r="AB463" s="1794"/>
      <c r="AC463" s="1954"/>
      <c r="AD463" s="1954"/>
      <c r="AE463" s="1954"/>
      <c r="AF463" s="1954"/>
      <c r="AI463" s="1735" t="str">
        <f>"2A:field164:" &amp; IF(I463="■",1,IF(L463="■",2,IF(O463="■",3,0)))</f>
        <v>2A:field164:0</v>
      </c>
    </row>
    <row r="464" spans="1:36" s="1735" customFormat="1" ht="18.75" hidden="1" customHeight="1">
      <c r="A464" s="2005"/>
      <c r="B464" s="2004"/>
      <c r="C464" s="1764"/>
      <c r="D464" s="1763"/>
      <c r="E464" s="1793"/>
      <c r="F464" s="1763"/>
      <c r="G464" s="1762"/>
      <c r="H464" s="1917" t="s">
        <v>794</v>
      </c>
      <c r="I464" s="1773" t="s">
        <v>194</v>
      </c>
      <c r="J464" s="1754" t="s">
        <v>750</v>
      </c>
      <c r="K464" s="1754"/>
      <c r="L464" s="1772" t="s">
        <v>194</v>
      </c>
      <c r="M464" s="1754" t="s">
        <v>784</v>
      </c>
      <c r="N464" s="1754"/>
      <c r="O464" s="1772" t="s">
        <v>194</v>
      </c>
      <c r="P464" s="1754" t="s">
        <v>785</v>
      </c>
      <c r="Q464" s="1768"/>
      <c r="R464" s="1768"/>
      <c r="S464" s="1768"/>
      <c r="T464" s="1768"/>
      <c r="U464" s="1829"/>
      <c r="V464" s="1829"/>
      <c r="W464" s="1829"/>
      <c r="X464" s="1828"/>
      <c r="Y464" s="1914"/>
      <c r="Z464" s="1913"/>
      <c r="AA464" s="1913"/>
      <c r="AB464" s="1794"/>
      <c r="AC464" s="1954"/>
      <c r="AD464" s="1954"/>
      <c r="AE464" s="1954"/>
      <c r="AF464" s="1954"/>
      <c r="AI464" s="1735" t="str">
        <f>"2A:field225:" &amp; IF(I464="■",1,IF(L464="■",2,IF(O464="■",3,0)))</f>
        <v>2A:field225:0</v>
      </c>
    </row>
    <row r="465" spans="1:36" s="1735" customFormat="1" ht="18.75" hidden="1" customHeight="1">
      <c r="A465" s="2005"/>
      <c r="B465" s="2004"/>
      <c r="C465" s="1764"/>
      <c r="D465" s="1763"/>
      <c r="E465" s="1793"/>
      <c r="F465" s="1763"/>
      <c r="G465" s="1762"/>
      <c r="H465" s="1759" t="s">
        <v>795</v>
      </c>
      <c r="I465" s="1773" t="s">
        <v>194</v>
      </c>
      <c r="J465" s="1754" t="s">
        <v>750</v>
      </c>
      <c r="K465" s="1754"/>
      <c r="L465" s="1772" t="s">
        <v>194</v>
      </c>
      <c r="M465" s="1754" t="s">
        <v>796</v>
      </c>
      <c r="N465" s="1754"/>
      <c r="O465" s="1772" t="s">
        <v>194</v>
      </c>
      <c r="P465" s="1754" t="s">
        <v>797</v>
      </c>
      <c r="Q465" s="1771"/>
      <c r="R465" s="1772" t="s">
        <v>194</v>
      </c>
      <c r="S465" s="1754" t="s">
        <v>798</v>
      </c>
      <c r="T465" s="1771"/>
      <c r="U465" s="1771"/>
      <c r="V465" s="1771"/>
      <c r="W465" s="1771"/>
      <c r="X465" s="1770"/>
      <c r="Y465" s="1914"/>
      <c r="Z465" s="1913"/>
      <c r="AA465" s="1913"/>
      <c r="AB465" s="1794"/>
      <c r="AC465" s="1954"/>
      <c r="AD465" s="1954"/>
      <c r="AE465" s="1954"/>
      <c r="AF465" s="1954"/>
      <c r="AI465" s="1735" t="str">
        <f>"2A:serteikyo_kyoka_code:" &amp; IF(I465="■",1,IF(L465="■",6,IF(O465="■",5,IF(R465="■",7,0))))</f>
        <v>2A:serteikyo_kyoka_code:0</v>
      </c>
    </row>
    <row r="466" spans="1:36" s="1735" customFormat="1" ht="18.75" hidden="1" customHeight="1">
      <c r="A466" s="2005"/>
      <c r="B466" s="2004"/>
      <c r="C466" s="1764"/>
      <c r="D466" s="1763"/>
      <c r="E466" s="1793"/>
      <c r="F466" s="1763"/>
      <c r="G466" s="1762"/>
      <c r="H466" s="1788" t="s">
        <v>1665</v>
      </c>
      <c r="I466" s="1969" t="s">
        <v>194</v>
      </c>
      <c r="J466" s="1968" t="s">
        <v>750</v>
      </c>
      <c r="K466" s="1968"/>
      <c r="L466" s="1967" t="s">
        <v>194</v>
      </c>
      <c r="M466" s="1968" t="s">
        <v>764</v>
      </c>
      <c r="N466" s="1968"/>
      <c r="O466" s="1923"/>
      <c r="P466" s="1923"/>
      <c r="Q466" s="1923"/>
      <c r="R466" s="1923"/>
      <c r="S466" s="1923"/>
      <c r="T466" s="1923"/>
      <c r="U466" s="1923"/>
      <c r="V466" s="1923"/>
      <c r="W466" s="1923"/>
      <c r="X466" s="1956"/>
      <c r="Y466" s="1914"/>
      <c r="Z466" s="1913"/>
      <c r="AA466" s="1913"/>
      <c r="AB466" s="1794"/>
      <c r="AC466" s="1954"/>
      <c r="AD466" s="1954"/>
      <c r="AE466" s="1954"/>
      <c r="AF466" s="1954"/>
      <c r="AI466" s="1735" t="str">
        <f>"2A:field221:" &amp; IF(I466="■",1,IF(L466="■",2,0))</f>
        <v>2A:field221:0</v>
      </c>
    </row>
    <row r="467" spans="1:36" s="1735" customFormat="1" ht="18.75" hidden="1" customHeight="1">
      <c r="A467" s="2005"/>
      <c r="B467" s="2004"/>
      <c r="C467" s="1764"/>
      <c r="D467" s="1763"/>
      <c r="E467" s="1793"/>
      <c r="F467" s="1763"/>
      <c r="G467" s="1762"/>
      <c r="H467" s="1783"/>
      <c r="I467" s="1969"/>
      <c r="J467" s="1968"/>
      <c r="K467" s="1968"/>
      <c r="L467" s="1967"/>
      <c r="M467" s="1968"/>
      <c r="N467" s="1968"/>
      <c r="O467" s="1756"/>
      <c r="P467" s="1756"/>
      <c r="Q467" s="1756"/>
      <c r="R467" s="1756"/>
      <c r="S467" s="1756"/>
      <c r="T467" s="1756"/>
      <c r="U467" s="1756"/>
      <c r="V467" s="1756"/>
      <c r="W467" s="1756"/>
      <c r="X467" s="1814"/>
      <c r="Y467" s="1914"/>
      <c r="Z467" s="1913"/>
      <c r="AA467" s="1913"/>
      <c r="AB467" s="1794"/>
      <c r="AC467" s="1954"/>
      <c r="AD467" s="1954"/>
      <c r="AE467" s="1954"/>
      <c r="AF467" s="1954"/>
    </row>
    <row r="468" spans="1:36" s="1735" customFormat="1" ht="18.75" hidden="1" customHeight="1">
      <c r="A468" s="1752"/>
      <c r="B468" s="1751"/>
      <c r="C468" s="1750"/>
      <c r="D468" s="1749"/>
      <c r="E468" s="1748"/>
      <c r="F468" s="1747"/>
      <c r="G468" s="1808"/>
      <c r="H468" s="1909" t="s">
        <v>1553</v>
      </c>
      <c r="I468" s="1744" t="s">
        <v>194</v>
      </c>
      <c r="J468" s="1905" t="s">
        <v>750</v>
      </c>
      <c r="K468" s="1905"/>
      <c r="L468" s="1743" t="s">
        <v>194</v>
      </c>
      <c r="M468" s="1905" t="s">
        <v>1552</v>
      </c>
      <c r="N468" s="1908"/>
      <c r="O468" s="1743" t="s">
        <v>194</v>
      </c>
      <c r="P468" s="1907" t="s">
        <v>1551</v>
      </c>
      <c r="Q468" s="1906"/>
      <c r="R468" s="1743" t="s">
        <v>194</v>
      </c>
      <c r="S468" s="1905" t="s">
        <v>1550</v>
      </c>
      <c r="T468" s="1906"/>
      <c r="U468" s="1743" t="s">
        <v>194</v>
      </c>
      <c r="V468" s="1905" t="s">
        <v>1549</v>
      </c>
      <c r="W468" s="1904"/>
      <c r="X468" s="1903"/>
      <c r="Y468" s="1902"/>
      <c r="Z468" s="1902"/>
      <c r="AA468" s="1902"/>
      <c r="AB468" s="1901"/>
      <c r="AC468" s="1953"/>
      <c r="AD468" s="1953"/>
      <c r="AE468" s="1953"/>
      <c r="AF468" s="1953"/>
      <c r="AI468" s="1735" t="str">
        <f>"2A:shoguukaizen_code:"&amp;IF(I468="■",1,IF(L468="■",7,IF(O468="■",8,IF(R468="■",9,IF(U468="■","A",0)))))</f>
        <v>2A:shoguukaizen_code:0</v>
      </c>
    </row>
    <row r="469" spans="1:36" s="1735" customFormat="1" ht="18.75" hidden="1" customHeight="1">
      <c r="A469" s="2009"/>
      <c r="B469" s="2008"/>
      <c r="C469" s="1849"/>
      <c r="D469" s="1848"/>
      <c r="E469" s="1802"/>
      <c r="F469" s="1848"/>
      <c r="G469" s="1804"/>
      <c r="H469" s="1885" t="s">
        <v>746</v>
      </c>
      <c r="I469" s="1873" t="s">
        <v>194</v>
      </c>
      <c r="J469" s="1872" t="s">
        <v>747</v>
      </c>
      <c r="K469" s="1932"/>
      <c r="L469" s="2007"/>
      <c r="M469" s="1931" t="s">
        <v>194</v>
      </c>
      <c r="N469" s="1872" t="s">
        <v>1572</v>
      </c>
      <c r="O469" s="1930"/>
      <c r="P469" s="1930"/>
      <c r="Q469" s="1931" t="s">
        <v>194</v>
      </c>
      <c r="R469" s="1872" t="s">
        <v>1571</v>
      </c>
      <c r="S469" s="1930"/>
      <c r="T469" s="1930"/>
      <c r="U469" s="1931" t="s">
        <v>194</v>
      </c>
      <c r="V469" s="1872" t="s">
        <v>1570</v>
      </c>
      <c r="W469" s="1930"/>
      <c r="X469" s="1886"/>
      <c r="Y469" s="1873" t="s">
        <v>194</v>
      </c>
      <c r="Z469" s="1872" t="s">
        <v>749</v>
      </c>
      <c r="AA469" s="1872"/>
      <c r="AB469" s="1929"/>
      <c r="AC469" s="1959"/>
      <c r="AD469" s="1959"/>
      <c r="AE469" s="1959"/>
      <c r="AF469" s="1959"/>
      <c r="AG469" s="1735" t="str">
        <f>"ser_code = '" &amp; IF(A479="■","2A","") &amp; "'"</f>
        <v>ser_code = ''</v>
      </c>
      <c r="AH469" s="1735" t="str">
        <f>"2A:jininkbn_code:"&amp;IF(F479="■",2,0)</f>
        <v>2A:jininkbn_code:0</v>
      </c>
      <c r="AI469" s="1735" t="str">
        <f>"2A:yakan_kinmu_code:" &amp; IF(I469="■",1,IF(M469="■",2,IF(Q469="■",3,IF(U469="■",7,IF(I470="■",5,IF(M470="■",6,0))))))</f>
        <v>2A:yakan_kinmu_code:0</v>
      </c>
      <c r="AJ469" s="1735" t="str">
        <f>"2A:field203:" &amp; IF(Y469="■",1,IF(Y470="■",2,0))</f>
        <v>2A:field203:0</v>
      </c>
    </row>
    <row r="470" spans="1:36" s="1735" customFormat="1" ht="18.75" hidden="1" customHeight="1">
      <c r="A470" s="2005"/>
      <c r="B470" s="2004"/>
      <c r="C470" s="1764"/>
      <c r="D470" s="1763"/>
      <c r="E470" s="1793"/>
      <c r="F470" s="1763"/>
      <c r="G470" s="1762"/>
      <c r="H470" s="1921"/>
      <c r="I470" s="1758" t="s">
        <v>194</v>
      </c>
      <c r="J470" s="1756" t="s">
        <v>1569</v>
      </c>
      <c r="K470" s="1755"/>
      <c r="L470" s="2006"/>
      <c r="M470" s="1757" t="s">
        <v>194</v>
      </c>
      <c r="N470" s="1756" t="s">
        <v>748</v>
      </c>
      <c r="O470" s="1780"/>
      <c r="P470" s="1780"/>
      <c r="Q470" s="1780"/>
      <c r="R470" s="1780"/>
      <c r="S470" s="1780"/>
      <c r="T470" s="1780"/>
      <c r="U470" s="1780"/>
      <c r="V470" s="1780"/>
      <c r="W470" s="1780"/>
      <c r="X470" s="1779"/>
      <c r="Y470" s="1878" t="s">
        <v>194</v>
      </c>
      <c r="Z470" s="1738" t="s">
        <v>754</v>
      </c>
      <c r="AA470" s="1913"/>
      <c r="AB470" s="1794"/>
      <c r="AC470" s="1970"/>
      <c r="AD470" s="1970"/>
      <c r="AE470" s="1970"/>
      <c r="AF470" s="1970"/>
      <c r="AG470" s="1735" t="str">
        <f>"2A:sisetukbn_code:"&amp;IF(D479="■","3",0)</f>
        <v>2A:sisetukbn_code:0</v>
      </c>
    </row>
    <row r="471" spans="1:36" s="1735" customFormat="1" ht="18.75" hidden="1" customHeight="1">
      <c r="A471" s="2005"/>
      <c r="B471" s="2004"/>
      <c r="C471" s="1764"/>
      <c r="D471" s="1763"/>
      <c r="E471" s="1793"/>
      <c r="F471" s="1763"/>
      <c r="G471" s="1762"/>
      <c r="H471" s="1925" t="s">
        <v>98</v>
      </c>
      <c r="I471" s="1924" t="s">
        <v>194</v>
      </c>
      <c r="J471" s="1923" t="s">
        <v>750</v>
      </c>
      <c r="K471" s="1923"/>
      <c r="L471" s="1937"/>
      <c r="M471" s="1922" t="s">
        <v>194</v>
      </c>
      <c r="N471" s="1923" t="s">
        <v>1568</v>
      </c>
      <c r="O471" s="1923"/>
      <c r="P471" s="1937"/>
      <c r="Q471" s="1922" t="s">
        <v>194</v>
      </c>
      <c r="R471" s="1785" t="s">
        <v>1567</v>
      </c>
      <c r="S471" s="1785"/>
      <c r="T471" s="1785"/>
      <c r="U471" s="1829"/>
      <c r="V471" s="1937"/>
      <c r="W471" s="1785"/>
      <c r="X471" s="1828"/>
      <c r="Y471" s="1914"/>
      <c r="Z471" s="1913"/>
      <c r="AA471" s="1913"/>
      <c r="AB471" s="1794"/>
      <c r="AC471" s="1954"/>
      <c r="AD471" s="1954"/>
      <c r="AE471" s="1954"/>
      <c r="AF471" s="1954"/>
      <c r="AI471" s="1735" t="str">
        <f>"2A:"&amp;IF(AND(I471="□",M471="□",Q471="□",I472="□",M472="□"),"ketu_doctor_code:0",IF(I471="■","ketu_doctor_code:1:field197:1:ketu_kangos_code:1:ketu_kshoku_code:1",IF(M471="■","ketu_doctor_code:2","ketu_doctor_code:1")
&amp;IF(Q471="■",":field197:2",":field197:1")
&amp;IF(I472="■",":ketu_kangos_code:2",":ketu_kangos_code:1")
&amp;IF(M472="■",":ketu_kshoku_code:2",":ketu_kshoku_code:1")))</f>
        <v>2A:ketu_doctor_code:0</v>
      </c>
    </row>
    <row r="472" spans="1:36" s="1735" customFormat="1" ht="18.75" hidden="1" customHeight="1">
      <c r="A472" s="2005"/>
      <c r="B472" s="2004"/>
      <c r="C472" s="1764"/>
      <c r="D472" s="1763"/>
      <c r="E472" s="1793"/>
      <c r="F472" s="1763"/>
      <c r="G472" s="1762"/>
      <c r="H472" s="1921"/>
      <c r="I472" s="1758" t="s">
        <v>194</v>
      </c>
      <c r="J472" s="1780" t="s">
        <v>1566</v>
      </c>
      <c r="K472" s="1780"/>
      <c r="L472" s="1780"/>
      <c r="M472" s="1757" t="s">
        <v>194</v>
      </c>
      <c r="N472" s="1780" t="s">
        <v>1565</v>
      </c>
      <c r="O472" s="2006"/>
      <c r="P472" s="1780"/>
      <c r="Q472" s="1780"/>
      <c r="R472" s="2006"/>
      <c r="S472" s="1780"/>
      <c r="T472" s="1780"/>
      <c r="U472" s="1827"/>
      <c r="V472" s="2006"/>
      <c r="W472" s="1780"/>
      <c r="X472" s="1826"/>
      <c r="Y472" s="1914"/>
      <c r="Z472" s="1913"/>
      <c r="AA472" s="1913"/>
      <c r="AB472" s="1794"/>
      <c r="AC472" s="1954"/>
      <c r="AD472" s="1954"/>
      <c r="AE472" s="1954"/>
      <c r="AF472" s="1954"/>
    </row>
    <row r="473" spans="1:36" s="1735" customFormat="1" ht="18.75" hidden="1" customHeight="1">
      <c r="A473" s="1766"/>
      <c r="B473" s="1765"/>
      <c r="C473" s="1916"/>
      <c r="D473" s="1915"/>
      <c r="E473" s="1762"/>
      <c r="F473" s="1761"/>
      <c r="G473" s="1793"/>
      <c r="H473" s="2002" t="s">
        <v>757</v>
      </c>
      <c r="I473" s="1842" t="s">
        <v>194</v>
      </c>
      <c r="J473" s="1837" t="s">
        <v>758</v>
      </c>
      <c r="K473" s="1841"/>
      <c r="L473" s="1840"/>
      <c r="M473" s="1839" t="s">
        <v>194</v>
      </c>
      <c r="N473" s="1837" t="s">
        <v>759</v>
      </c>
      <c r="O473" s="1841"/>
      <c r="P473" s="2001"/>
      <c r="Q473" s="2001"/>
      <c r="R473" s="2001"/>
      <c r="S473" s="2001"/>
      <c r="T473" s="2001"/>
      <c r="U473" s="2001"/>
      <c r="V473" s="2001"/>
      <c r="W473" s="2001"/>
      <c r="X473" s="2000"/>
      <c r="Y473" s="1914"/>
      <c r="Z473" s="1913"/>
      <c r="AA473" s="1913"/>
      <c r="AB473" s="1794"/>
      <c r="AC473" s="1954"/>
      <c r="AD473" s="1954"/>
      <c r="AE473" s="1954"/>
      <c r="AF473" s="1954"/>
      <c r="AI473" s="1735" t="str">
        <f>"2A:sintaikousoku_code:" &amp; IF(I473="■",1,IF(M473="■",2,0))</f>
        <v>2A:sintaikousoku_code:0</v>
      </c>
    </row>
    <row r="474" spans="1:36" s="1735" customFormat="1" ht="19.5" hidden="1" customHeight="1">
      <c r="A474" s="1766"/>
      <c r="B474" s="1765"/>
      <c r="C474" s="1764"/>
      <c r="D474" s="1763"/>
      <c r="E474" s="1762"/>
      <c r="F474" s="1761"/>
      <c r="G474" s="1793"/>
      <c r="H474" s="1792" t="s">
        <v>760</v>
      </c>
      <c r="I474" s="1773" t="s">
        <v>194</v>
      </c>
      <c r="J474" s="1754" t="s">
        <v>758</v>
      </c>
      <c r="K474" s="1789"/>
      <c r="L474" s="1791"/>
      <c r="M474" s="1772" t="s">
        <v>194</v>
      </c>
      <c r="N474" s="1754" t="s">
        <v>761</v>
      </c>
      <c r="O474" s="1920"/>
      <c r="P474" s="1754"/>
      <c r="Q474" s="1768"/>
      <c r="R474" s="1768"/>
      <c r="S474" s="1768"/>
      <c r="T474" s="1768"/>
      <c r="U474" s="1768"/>
      <c r="V474" s="1768"/>
      <c r="W474" s="1768"/>
      <c r="X474" s="1767"/>
      <c r="Y474" s="1913"/>
      <c r="Z474" s="1913"/>
      <c r="AA474" s="1913"/>
      <c r="AB474" s="1794"/>
      <c r="AC474" s="1954"/>
      <c r="AD474" s="1954"/>
      <c r="AE474" s="1954"/>
      <c r="AF474" s="1954"/>
      <c r="AI474" s="1735" t="str">
        <f>"2A:field223:" &amp; IF(I474="■",1,IF(M474="■",2,0))</f>
        <v>2A:field223:0</v>
      </c>
    </row>
    <row r="475" spans="1:36" s="1735" customFormat="1" ht="18.75" hidden="1" customHeight="1">
      <c r="A475" s="2005"/>
      <c r="B475" s="2004"/>
      <c r="C475" s="1764"/>
      <c r="D475" s="1763"/>
      <c r="E475" s="1793"/>
      <c r="F475" s="1763"/>
      <c r="G475" s="1762"/>
      <c r="H475" s="1792" t="s">
        <v>762</v>
      </c>
      <c r="I475" s="1773" t="s">
        <v>194</v>
      </c>
      <c r="J475" s="1754" t="s">
        <v>758</v>
      </c>
      <c r="K475" s="1789"/>
      <c r="L475" s="1791"/>
      <c r="M475" s="1772" t="s">
        <v>194</v>
      </c>
      <c r="N475" s="1754" t="s">
        <v>761</v>
      </c>
      <c r="O475" s="1920"/>
      <c r="P475" s="1754"/>
      <c r="Q475" s="1768"/>
      <c r="R475" s="1768"/>
      <c r="S475" s="1768"/>
      <c r="T475" s="1768"/>
      <c r="U475" s="1768"/>
      <c r="V475" s="1768"/>
      <c r="W475" s="1768"/>
      <c r="X475" s="1767"/>
      <c r="Y475" s="1913"/>
      <c r="Z475" s="1913"/>
      <c r="AA475" s="1913"/>
      <c r="AB475" s="1794"/>
      <c r="AC475" s="1954"/>
      <c r="AD475" s="1954"/>
      <c r="AE475" s="1954"/>
      <c r="AF475" s="1954"/>
      <c r="AI475" s="1735" t="str">
        <f>"2A:field232:" &amp; IF(I475="■",1,IF(M475="■",2,0))</f>
        <v>2A:field232:0</v>
      </c>
    </row>
    <row r="476" spans="1:36" s="835" customFormat="1" ht="19.5" hidden="1" customHeight="1">
      <c r="A476" s="338"/>
      <c r="B476" s="833"/>
      <c r="C476" s="341"/>
      <c r="D476" s="834"/>
      <c r="E476" s="836"/>
      <c r="F476" s="832"/>
      <c r="G476" s="385"/>
      <c r="H476" s="1945" t="s">
        <v>1597</v>
      </c>
      <c r="I476" s="1773" t="s">
        <v>194</v>
      </c>
      <c r="J476" s="1941" t="s">
        <v>1595</v>
      </c>
      <c r="K476" s="1944"/>
      <c r="L476" s="1943"/>
      <c r="M476" s="1772" t="s">
        <v>194</v>
      </c>
      <c r="N476" s="1941" t="s">
        <v>1594</v>
      </c>
      <c r="O476" s="1942"/>
      <c r="P476" s="1941"/>
      <c r="Q476" s="1940"/>
      <c r="R476" s="1940"/>
      <c r="S476" s="1940"/>
      <c r="T476" s="1940"/>
      <c r="U476" s="1940"/>
      <c r="V476" s="1940"/>
      <c r="W476" s="1940"/>
      <c r="X476" s="1939"/>
      <c r="Y476" s="557"/>
      <c r="Z476" s="2"/>
      <c r="AA476" s="837"/>
      <c r="AB476" s="339"/>
      <c r="AC476" s="1954"/>
      <c r="AD476" s="1954"/>
      <c r="AE476" s="1954"/>
      <c r="AF476" s="1954"/>
      <c r="AI476" s="1735" t="str">
        <f>"2A:field242:" &amp; IF(I476="■",1,IF(M476="■",2,0))</f>
        <v>2A:field242:0</v>
      </c>
    </row>
    <row r="477" spans="1:36" s="1735" customFormat="1" ht="18.75" hidden="1" customHeight="1">
      <c r="A477" s="2005"/>
      <c r="B477" s="2004"/>
      <c r="C477" s="1764"/>
      <c r="D477" s="1763"/>
      <c r="E477" s="1793"/>
      <c r="F477" s="1763"/>
      <c r="G477" s="1762"/>
      <c r="H477" s="1769" t="s">
        <v>1560</v>
      </c>
      <c r="I477" s="1773" t="s">
        <v>194</v>
      </c>
      <c r="J477" s="1754" t="s">
        <v>747</v>
      </c>
      <c r="K477" s="1789"/>
      <c r="L477" s="1791"/>
      <c r="M477" s="1772" t="s">
        <v>194</v>
      </c>
      <c r="N477" s="1754" t="s">
        <v>1556</v>
      </c>
      <c r="O477" s="1768"/>
      <c r="P477" s="1768"/>
      <c r="Q477" s="1768"/>
      <c r="R477" s="1768"/>
      <c r="S477" s="1768"/>
      <c r="T477" s="1768"/>
      <c r="U477" s="1768"/>
      <c r="V477" s="1768"/>
      <c r="W477" s="1768"/>
      <c r="X477" s="1767"/>
      <c r="Y477" s="1914"/>
      <c r="Z477" s="1913"/>
      <c r="AA477" s="1913"/>
      <c r="AB477" s="1794"/>
      <c r="AC477" s="1954"/>
      <c r="AD477" s="1954"/>
      <c r="AE477" s="1954"/>
      <c r="AF477" s="1954"/>
      <c r="AI477" s="1735" t="str">
        <f>"2A:field190:" &amp; IF(I477="■",1,IF(M477="■",2,0))</f>
        <v>2A:field190:0</v>
      </c>
    </row>
    <row r="478" spans="1:36" s="1735" customFormat="1" ht="18.75" hidden="1" customHeight="1">
      <c r="A478" s="2005"/>
      <c r="B478" s="2004"/>
      <c r="C478" s="1764"/>
      <c r="D478" s="1763"/>
      <c r="E478" s="1793"/>
      <c r="F478" s="1763"/>
      <c r="G478" s="1762"/>
      <c r="H478" s="1769" t="s">
        <v>1558</v>
      </c>
      <c r="I478" s="1773" t="s">
        <v>194</v>
      </c>
      <c r="J478" s="1754" t="s">
        <v>747</v>
      </c>
      <c r="K478" s="1789"/>
      <c r="L478" s="1791"/>
      <c r="M478" s="1772" t="s">
        <v>194</v>
      </c>
      <c r="N478" s="1754" t="s">
        <v>1556</v>
      </c>
      <c r="O478" s="1768"/>
      <c r="P478" s="1768"/>
      <c r="Q478" s="1768"/>
      <c r="R478" s="1768"/>
      <c r="S478" s="1768"/>
      <c r="T478" s="1768"/>
      <c r="U478" s="1768"/>
      <c r="V478" s="1768"/>
      <c r="W478" s="1768"/>
      <c r="X478" s="1767"/>
      <c r="Y478" s="1914"/>
      <c r="Z478" s="1913"/>
      <c r="AA478" s="1913"/>
      <c r="AB478" s="1794"/>
      <c r="AC478" s="1954"/>
      <c r="AD478" s="1954"/>
      <c r="AE478" s="1954"/>
      <c r="AF478" s="1954"/>
      <c r="AI478" s="1735" t="str">
        <f>"2A:field191:" &amp; IF(I478="■",1,IF(M478="■",2,0))</f>
        <v>2A:field191:0</v>
      </c>
    </row>
    <row r="479" spans="1:36" s="1735" customFormat="1" ht="18.75" hidden="1" customHeight="1">
      <c r="A479" s="1776" t="s">
        <v>194</v>
      </c>
      <c r="B479" s="2004" t="s">
        <v>1669</v>
      </c>
      <c r="C479" s="1764" t="s">
        <v>1668</v>
      </c>
      <c r="D479" s="1878" t="s">
        <v>194</v>
      </c>
      <c r="E479" s="1793" t="s">
        <v>1598</v>
      </c>
      <c r="F479" s="1878" t="s">
        <v>194</v>
      </c>
      <c r="G479" s="1762" t="s">
        <v>1559</v>
      </c>
      <c r="H479" s="1769" t="s">
        <v>1498</v>
      </c>
      <c r="I479" s="1773" t="s">
        <v>194</v>
      </c>
      <c r="J479" s="1754" t="s">
        <v>750</v>
      </c>
      <c r="K479" s="1789"/>
      <c r="L479" s="1772" t="s">
        <v>194</v>
      </c>
      <c r="M479" s="1754" t="s">
        <v>764</v>
      </c>
      <c r="N479" s="1768"/>
      <c r="O479" s="1768"/>
      <c r="P479" s="1768"/>
      <c r="Q479" s="1768"/>
      <c r="R479" s="1768"/>
      <c r="S479" s="1768"/>
      <c r="T479" s="1768"/>
      <c r="U479" s="1768"/>
      <c r="V479" s="1768"/>
      <c r="W479" s="1768"/>
      <c r="X479" s="1767"/>
      <c r="Y479" s="1914"/>
      <c r="Z479" s="1913"/>
      <c r="AA479" s="1913"/>
      <c r="AB479" s="1794"/>
      <c r="AC479" s="1954"/>
      <c r="AD479" s="1954"/>
      <c r="AE479" s="1954"/>
      <c r="AF479" s="1954"/>
      <c r="AI479" s="1735" t="str">
        <f>"2A:jyakuninti_uke_code:" &amp; IF(I479="■",1,IF(L479="■",2,0))</f>
        <v>2A:jyakuninti_uke_code:0</v>
      </c>
    </row>
    <row r="480" spans="1:36" s="1735" customFormat="1" ht="18.75" hidden="1" customHeight="1">
      <c r="A480" s="2005"/>
      <c r="B480" s="2004"/>
      <c r="C480" s="1764"/>
      <c r="D480" s="1763"/>
      <c r="E480" s="1793"/>
      <c r="F480" s="1763"/>
      <c r="G480" s="1762"/>
      <c r="H480" s="1769" t="s">
        <v>1666</v>
      </c>
      <c r="I480" s="1773" t="s">
        <v>194</v>
      </c>
      <c r="J480" s="1754" t="s">
        <v>755</v>
      </c>
      <c r="K480" s="1789"/>
      <c r="L480" s="1791"/>
      <c r="M480" s="1772" t="s">
        <v>194</v>
      </c>
      <c r="N480" s="1754" t="s">
        <v>756</v>
      </c>
      <c r="O480" s="1768"/>
      <c r="P480" s="1768"/>
      <c r="Q480" s="1768"/>
      <c r="R480" s="1768"/>
      <c r="S480" s="1768"/>
      <c r="T480" s="1768"/>
      <c r="U480" s="1768"/>
      <c r="V480" s="1768"/>
      <c r="W480" s="1768"/>
      <c r="X480" s="1767"/>
      <c r="Y480" s="1914"/>
      <c r="Z480" s="1913"/>
      <c r="AA480" s="1913"/>
      <c r="AB480" s="1794"/>
      <c r="AC480" s="1954"/>
      <c r="AD480" s="1954"/>
      <c r="AE480" s="1954"/>
      <c r="AF480" s="1954"/>
      <c r="AI480" s="1735" t="str">
        <f>"2A:sougei_code:" &amp; IF(I480="■",1,IF(M480="■",2,0))</f>
        <v>2A:sougei_code:0</v>
      </c>
    </row>
    <row r="481" spans="1:36" s="1735" customFormat="1" ht="19.5" hidden="1" customHeight="1">
      <c r="A481" s="2005"/>
      <c r="B481" s="2004"/>
      <c r="C481" s="1764"/>
      <c r="D481" s="1763"/>
      <c r="E481" s="1793"/>
      <c r="F481" s="1763"/>
      <c r="G481" s="1762"/>
      <c r="H481" s="1792" t="s">
        <v>1516</v>
      </c>
      <c r="I481" s="1773" t="s">
        <v>194</v>
      </c>
      <c r="J481" s="1754" t="s">
        <v>750</v>
      </c>
      <c r="K481" s="1754"/>
      <c r="L481" s="1772" t="s">
        <v>194</v>
      </c>
      <c r="M481" s="1754" t="s">
        <v>764</v>
      </c>
      <c r="N481" s="1754"/>
      <c r="O481" s="1768"/>
      <c r="P481" s="1754"/>
      <c r="Q481" s="1768"/>
      <c r="R481" s="1768"/>
      <c r="S481" s="1768"/>
      <c r="T481" s="1768"/>
      <c r="U481" s="1768"/>
      <c r="V481" s="1768"/>
      <c r="W481" s="1768"/>
      <c r="X481" s="1767"/>
      <c r="Y481" s="1913"/>
      <c r="Z481" s="1913"/>
      <c r="AA481" s="1913"/>
      <c r="AB481" s="1794"/>
      <c r="AC481" s="1954"/>
      <c r="AD481" s="1954"/>
      <c r="AE481" s="1954"/>
      <c r="AF481" s="1954"/>
      <c r="AI481" s="1735" t="str">
        <f>"2A:field224:" &amp; IF(I481="■",1,IF(L481="■",2,0))</f>
        <v>2A:field224:0</v>
      </c>
    </row>
    <row r="482" spans="1:36" s="1735" customFormat="1" ht="18.75" hidden="1" customHeight="1">
      <c r="A482" s="2005"/>
      <c r="B482" s="2004"/>
      <c r="C482" s="1764"/>
      <c r="D482" s="1763"/>
      <c r="E482" s="1793"/>
      <c r="F482" s="1763"/>
      <c r="G482" s="1762"/>
      <c r="H482" s="1769" t="s">
        <v>787</v>
      </c>
      <c r="I482" s="1773" t="s">
        <v>194</v>
      </c>
      <c r="J482" s="1754" t="s">
        <v>750</v>
      </c>
      <c r="K482" s="1789"/>
      <c r="L482" s="1772" t="s">
        <v>194</v>
      </c>
      <c r="M482" s="1754" t="s">
        <v>764</v>
      </c>
      <c r="N482" s="1768"/>
      <c r="O482" s="1768"/>
      <c r="P482" s="1768"/>
      <c r="Q482" s="1768"/>
      <c r="R482" s="1768"/>
      <c r="S482" s="1768"/>
      <c r="T482" s="1768"/>
      <c r="U482" s="1768"/>
      <c r="V482" s="1768"/>
      <c r="W482" s="1768"/>
      <c r="X482" s="1767"/>
      <c r="Y482" s="1914"/>
      <c r="Z482" s="1913"/>
      <c r="AA482" s="1913"/>
      <c r="AB482" s="1794"/>
      <c r="AC482" s="1954"/>
      <c r="AD482" s="1954"/>
      <c r="AE482" s="1954"/>
      <c r="AF482" s="1954"/>
      <c r="AI482" s="1735" t="str">
        <f>"2A:ryouyoushoku_code:" &amp; IF(I482="■",1,IF(L482="■",2,0))</f>
        <v>2A:ryouyoushoku_code:0</v>
      </c>
    </row>
    <row r="483" spans="1:36" s="1735" customFormat="1" ht="18.75" hidden="1" customHeight="1">
      <c r="A483" s="2005"/>
      <c r="B483" s="2004"/>
      <c r="C483" s="1764"/>
      <c r="D483" s="1763"/>
      <c r="E483" s="1793"/>
      <c r="F483" s="1763"/>
      <c r="G483" s="1762"/>
      <c r="H483" s="1769" t="s">
        <v>791</v>
      </c>
      <c r="I483" s="1773" t="s">
        <v>194</v>
      </c>
      <c r="J483" s="1754" t="s">
        <v>750</v>
      </c>
      <c r="K483" s="1754"/>
      <c r="L483" s="1772" t="s">
        <v>194</v>
      </c>
      <c r="M483" s="1754" t="s">
        <v>784</v>
      </c>
      <c r="N483" s="1754"/>
      <c r="O483" s="1772" t="s">
        <v>194</v>
      </c>
      <c r="P483" s="1754" t="s">
        <v>785</v>
      </c>
      <c r="Q483" s="1768"/>
      <c r="R483" s="1768"/>
      <c r="S483" s="1768"/>
      <c r="T483" s="1768"/>
      <c r="U483" s="1768"/>
      <c r="V483" s="1768"/>
      <c r="W483" s="1768"/>
      <c r="X483" s="1767"/>
      <c r="Y483" s="1914"/>
      <c r="Z483" s="1913"/>
      <c r="AA483" s="1913"/>
      <c r="AB483" s="1794"/>
      <c r="AC483" s="1954"/>
      <c r="AD483" s="1954"/>
      <c r="AE483" s="1954"/>
      <c r="AF483" s="1954"/>
      <c r="AI483" s="1735" t="str">
        <f>"2A:ninti_senmoncare_code:" &amp; IF(I483="■",1,IF(O483="■",3,IF(L483="■",2,0)))</f>
        <v>2A:ninti_senmoncare_code:0</v>
      </c>
    </row>
    <row r="484" spans="1:36" s="1735" customFormat="1" ht="18.75" hidden="1" customHeight="1">
      <c r="A484" s="2005"/>
      <c r="B484" s="2004"/>
      <c r="C484" s="1764"/>
      <c r="D484" s="1763"/>
      <c r="E484" s="1793"/>
      <c r="F484" s="1763"/>
      <c r="G484" s="1762"/>
      <c r="H484" s="1769" t="s">
        <v>1554</v>
      </c>
      <c r="I484" s="1773" t="s">
        <v>194</v>
      </c>
      <c r="J484" s="1754" t="s">
        <v>750</v>
      </c>
      <c r="K484" s="1754"/>
      <c r="L484" s="1772" t="s">
        <v>194</v>
      </c>
      <c r="M484" s="1754" t="s">
        <v>784</v>
      </c>
      <c r="N484" s="1754"/>
      <c r="O484" s="1772" t="s">
        <v>194</v>
      </c>
      <c r="P484" s="1754" t="s">
        <v>785</v>
      </c>
      <c r="Q484" s="1768"/>
      <c r="R484" s="1768"/>
      <c r="S484" s="1768"/>
      <c r="T484" s="1768"/>
      <c r="U484" s="1768"/>
      <c r="V484" s="1768"/>
      <c r="W484" s="1768"/>
      <c r="X484" s="1767"/>
      <c r="Y484" s="1914"/>
      <c r="Z484" s="1913"/>
      <c r="AA484" s="1913"/>
      <c r="AB484" s="1794"/>
      <c r="AC484" s="1954"/>
      <c r="AD484" s="1954"/>
      <c r="AE484" s="1954"/>
      <c r="AF484" s="1954"/>
      <c r="AI484" s="1735" t="str">
        <f>"2A:field164:" &amp; IF(I484="■",1,IF(L484="■",2,IF(O484="■",3,0)))</f>
        <v>2A:field164:0</v>
      </c>
    </row>
    <row r="485" spans="1:36" s="1735" customFormat="1" ht="18.75" hidden="1" customHeight="1">
      <c r="A485" s="2005"/>
      <c r="B485" s="2004"/>
      <c r="C485" s="1764"/>
      <c r="D485" s="1763"/>
      <c r="E485" s="1793"/>
      <c r="F485" s="1763"/>
      <c r="G485" s="1762"/>
      <c r="H485" s="1917" t="s">
        <v>794</v>
      </c>
      <c r="I485" s="1773" t="s">
        <v>194</v>
      </c>
      <c r="J485" s="1754" t="s">
        <v>750</v>
      </c>
      <c r="K485" s="1754"/>
      <c r="L485" s="1772" t="s">
        <v>194</v>
      </c>
      <c r="M485" s="1754" t="s">
        <v>784</v>
      </c>
      <c r="N485" s="1754"/>
      <c r="O485" s="1772" t="s">
        <v>194</v>
      </c>
      <c r="P485" s="1754" t="s">
        <v>785</v>
      </c>
      <c r="Q485" s="1768"/>
      <c r="R485" s="1768"/>
      <c r="S485" s="1768"/>
      <c r="T485" s="1768"/>
      <c r="U485" s="1829"/>
      <c r="V485" s="1829"/>
      <c r="W485" s="1829"/>
      <c r="X485" s="1828"/>
      <c r="Y485" s="1914"/>
      <c r="Z485" s="1913"/>
      <c r="AA485" s="1913"/>
      <c r="AB485" s="1794"/>
      <c r="AC485" s="1954"/>
      <c r="AD485" s="1954"/>
      <c r="AE485" s="1954"/>
      <c r="AF485" s="1954"/>
      <c r="AI485" s="1735" t="str">
        <f>"2A:field225:" &amp; IF(I485="■",1,IF(L485="■",2,IF(O485="■",3,0)))</f>
        <v>2A:field225:0</v>
      </c>
    </row>
    <row r="486" spans="1:36" s="1735" customFormat="1" ht="18.75" hidden="1" customHeight="1">
      <c r="A486" s="2005"/>
      <c r="B486" s="2004"/>
      <c r="C486" s="1764"/>
      <c r="D486" s="1763"/>
      <c r="E486" s="1793"/>
      <c r="F486" s="1763"/>
      <c r="G486" s="1762"/>
      <c r="H486" s="1759" t="s">
        <v>795</v>
      </c>
      <c r="I486" s="1773" t="s">
        <v>194</v>
      </c>
      <c r="J486" s="1754" t="s">
        <v>750</v>
      </c>
      <c r="K486" s="1754"/>
      <c r="L486" s="1772" t="s">
        <v>194</v>
      </c>
      <c r="M486" s="1754" t="s">
        <v>796</v>
      </c>
      <c r="N486" s="1754"/>
      <c r="O486" s="1772" t="s">
        <v>194</v>
      </c>
      <c r="P486" s="1754" t="s">
        <v>797</v>
      </c>
      <c r="Q486" s="1771"/>
      <c r="R486" s="1772" t="s">
        <v>194</v>
      </c>
      <c r="S486" s="1754" t="s">
        <v>798</v>
      </c>
      <c r="T486" s="1771"/>
      <c r="U486" s="1771"/>
      <c r="V486" s="1771"/>
      <c r="W486" s="1771"/>
      <c r="X486" s="1770"/>
      <c r="Y486" s="1914"/>
      <c r="Z486" s="1913"/>
      <c r="AA486" s="1913"/>
      <c r="AB486" s="1794"/>
      <c r="AC486" s="1954"/>
      <c r="AD486" s="1954"/>
      <c r="AE486" s="1954"/>
      <c r="AF486" s="1954"/>
      <c r="AI486" s="1735" t="str">
        <f>"2A:serteikyo_kyoka_code:" &amp; IF(I486="■",1,IF(L486="■",6,IF(O486="■",5,IF(R486="■",7,0))))</f>
        <v>2A:serteikyo_kyoka_code:0</v>
      </c>
    </row>
    <row r="487" spans="1:36" s="1735" customFormat="1" ht="18.75" hidden="1" customHeight="1">
      <c r="A487" s="2005"/>
      <c r="B487" s="2004"/>
      <c r="C487" s="1764"/>
      <c r="D487" s="1763"/>
      <c r="E487" s="1793"/>
      <c r="F487" s="1763"/>
      <c r="G487" s="1762"/>
      <c r="H487" s="1788" t="s">
        <v>1665</v>
      </c>
      <c r="I487" s="1969" t="s">
        <v>194</v>
      </c>
      <c r="J487" s="1968" t="s">
        <v>750</v>
      </c>
      <c r="K487" s="1968"/>
      <c r="L487" s="1967" t="s">
        <v>194</v>
      </c>
      <c r="M487" s="1968" t="s">
        <v>764</v>
      </c>
      <c r="N487" s="1968"/>
      <c r="O487" s="1923"/>
      <c r="P487" s="1923"/>
      <c r="Q487" s="1923"/>
      <c r="R487" s="1923"/>
      <c r="S487" s="1923"/>
      <c r="T487" s="1923"/>
      <c r="U487" s="1923"/>
      <c r="V487" s="1923"/>
      <c r="W487" s="1923"/>
      <c r="X487" s="1956"/>
      <c r="Y487" s="1914"/>
      <c r="Z487" s="1913"/>
      <c r="AA487" s="1913"/>
      <c r="AB487" s="1794"/>
      <c r="AC487" s="1954"/>
      <c r="AD487" s="1954"/>
      <c r="AE487" s="1954"/>
      <c r="AF487" s="1954"/>
      <c r="AI487" s="1735" t="str">
        <f>"2A:field221:" &amp; IF(I487="■",1,IF(L487="■",2,0))</f>
        <v>2A:field221:0</v>
      </c>
    </row>
    <row r="488" spans="1:36" s="1735" customFormat="1" ht="18.75" hidden="1" customHeight="1">
      <c r="A488" s="2005"/>
      <c r="B488" s="2004"/>
      <c r="C488" s="1764"/>
      <c r="D488" s="1763"/>
      <c r="E488" s="1793"/>
      <c r="F488" s="1763"/>
      <c r="G488" s="1762"/>
      <c r="H488" s="1783"/>
      <c r="I488" s="1969"/>
      <c r="J488" s="1968"/>
      <c r="K488" s="1968"/>
      <c r="L488" s="1967"/>
      <c r="M488" s="1968"/>
      <c r="N488" s="1968"/>
      <c r="O488" s="1756"/>
      <c r="P488" s="1756"/>
      <c r="Q488" s="1756"/>
      <c r="R488" s="1756"/>
      <c r="S488" s="1756"/>
      <c r="T488" s="1756"/>
      <c r="U488" s="1756"/>
      <c r="V488" s="1756"/>
      <c r="W488" s="1756"/>
      <c r="X488" s="1814"/>
      <c r="Y488" s="1914"/>
      <c r="Z488" s="1913"/>
      <c r="AA488" s="1913"/>
      <c r="AB488" s="1794"/>
      <c r="AC488" s="1954"/>
      <c r="AD488" s="1954"/>
      <c r="AE488" s="1954"/>
      <c r="AF488" s="1954"/>
    </row>
    <row r="489" spans="1:36" s="1735" customFormat="1" ht="18.75" hidden="1" customHeight="1">
      <c r="A489" s="1766"/>
      <c r="B489" s="1765"/>
      <c r="C489" s="1764"/>
      <c r="D489" s="1763"/>
      <c r="E489" s="1762"/>
      <c r="F489" s="1761"/>
      <c r="G489" s="1793"/>
      <c r="H489" s="1952" t="s">
        <v>1553</v>
      </c>
      <c r="I489" s="1924" t="s">
        <v>194</v>
      </c>
      <c r="J489" s="1948" t="s">
        <v>750</v>
      </c>
      <c r="K489" s="1948"/>
      <c r="L489" s="1922" t="s">
        <v>194</v>
      </c>
      <c r="M489" s="1948" t="s">
        <v>1552</v>
      </c>
      <c r="N489" s="1951"/>
      <c r="O489" s="1922" t="s">
        <v>194</v>
      </c>
      <c r="P489" s="1950" t="s">
        <v>1551</v>
      </c>
      <c r="Q489" s="1949"/>
      <c r="R489" s="1922" t="s">
        <v>194</v>
      </c>
      <c r="S489" s="1948" t="s">
        <v>1550</v>
      </c>
      <c r="T489" s="1949"/>
      <c r="U489" s="1922" t="s">
        <v>194</v>
      </c>
      <c r="V489" s="1948" t="s">
        <v>1549</v>
      </c>
      <c r="W489" s="1947"/>
      <c r="X489" s="1946"/>
      <c r="Y489" s="1913"/>
      <c r="Z489" s="1913"/>
      <c r="AA489" s="1913"/>
      <c r="AB489" s="1794"/>
      <c r="AC489" s="1954"/>
      <c r="AD489" s="1954"/>
      <c r="AE489" s="1954"/>
      <c r="AF489" s="1954"/>
      <c r="AI489" s="1735" t="str">
        <f>"2A:shoguukaizen_code:"&amp;IF(I489="■",1,IF(L489="■",7,IF(O489="■",8,IF(R489="■",9,IF(U489="■","A",0)))))</f>
        <v>2A:shoguukaizen_code:0</v>
      </c>
    </row>
    <row r="490" spans="1:36" s="1735" customFormat="1" ht="18.75" hidden="1" customHeight="1">
      <c r="A490" s="2009"/>
      <c r="B490" s="2008"/>
      <c r="C490" s="1849"/>
      <c r="D490" s="1848"/>
      <c r="E490" s="1804"/>
      <c r="F490" s="1803"/>
      <c r="G490" s="1804"/>
      <c r="H490" s="1885" t="s">
        <v>746</v>
      </c>
      <c r="I490" s="1873" t="s">
        <v>194</v>
      </c>
      <c r="J490" s="1872" t="s">
        <v>747</v>
      </c>
      <c r="K490" s="1932"/>
      <c r="L490" s="2007"/>
      <c r="M490" s="1931" t="s">
        <v>194</v>
      </c>
      <c r="N490" s="1872" t="s">
        <v>1572</v>
      </c>
      <c r="O490" s="1930"/>
      <c r="P490" s="1930"/>
      <c r="Q490" s="1931" t="s">
        <v>194</v>
      </c>
      <c r="R490" s="1872" t="s">
        <v>1571</v>
      </c>
      <c r="S490" s="1930"/>
      <c r="T490" s="1930"/>
      <c r="U490" s="1931" t="s">
        <v>194</v>
      </c>
      <c r="V490" s="1872" t="s">
        <v>1570</v>
      </c>
      <c r="W490" s="1930"/>
      <c r="X490" s="1886"/>
      <c r="Y490" s="1931" t="s">
        <v>194</v>
      </c>
      <c r="Z490" s="1872" t="s">
        <v>749</v>
      </c>
      <c r="AA490" s="1872"/>
      <c r="AB490" s="1929"/>
      <c r="AC490" s="1959"/>
      <c r="AD490" s="1959"/>
      <c r="AE490" s="1959"/>
      <c r="AF490" s="1959"/>
      <c r="AG490" s="1735" t="str">
        <f>"ser_code = '" &amp; IF(A502="■","2A","") &amp; "'"</f>
        <v>ser_code = ''</v>
      </c>
      <c r="AH490" s="1735" t="str">
        <f>"2A:jininkbn_code:"&amp;IF(F502="■",1,IF(F503="■",2,0))</f>
        <v>2A:jininkbn_code:0</v>
      </c>
      <c r="AI490" s="1735" t="str">
        <f>"2A:yakan_kinmu_code:" &amp; IF(I490="■",1,IF(M490="■",2,IF(Q490="■",3,IF(U490="■",7,IF(I491="■",5,IF(M491="■",6,0))))))</f>
        <v>2A:yakan_kinmu_code:0</v>
      </c>
      <c r="AJ490" s="1735" t="str">
        <f>"2A:field203:" &amp; IF(Y490="■",1,IF(Y491="■",2,0))</f>
        <v>2A:field203:0</v>
      </c>
    </row>
    <row r="491" spans="1:36" s="1735" customFormat="1" ht="18.75" hidden="1" customHeight="1">
      <c r="A491" s="2005"/>
      <c r="B491" s="2004"/>
      <c r="C491" s="1764"/>
      <c r="D491" s="1763"/>
      <c r="E491" s="1762"/>
      <c r="F491" s="1761"/>
      <c r="G491" s="1762"/>
      <c r="H491" s="1921"/>
      <c r="I491" s="1758" t="s">
        <v>194</v>
      </c>
      <c r="J491" s="1756" t="s">
        <v>1569</v>
      </c>
      <c r="K491" s="1755"/>
      <c r="L491" s="2006"/>
      <c r="M491" s="1757" t="s">
        <v>194</v>
      </c>
      <c r="N491" s="1756" t="s">
        <v>748</v>
      </c>
      <c r="O491" s="1780"/>
      <c r="P491" s="1780"/>
      <c r="Q491" s="1780"/>
      <c r="R491" s="1780"/>
      <c r="S491" s="1780"/>
      <c r="T491" s="1780"/>
      <c r="U491" s="1780"/>
      <c r="V491" s="1780"/>
      <c r="W491" s="1780"/>
      <c r="X491" s="1779"/>
      <c r="Y491" s="1878" t="s">
        <v>194</v>
      </c>
      <c r="Z491" s="1738" t="s">
        <v>754</v>
      </c>
      <c r="AA491" s="1913"/>
      <c r="AB491" s="1794"/>
      <c r="AC491" s="1970"/>
      <c r="AD491" s="1970"/>
      <c r="AE491" s="1970"/>
      <c r="AF491" s="1970"/>
      <c r="AG491" s="1735" t="str">
        <f>"2A:sisetukbn_code:"&amp;IF(D502="■","4",0)</f>
        <v>2A:sisetukbn_code:0</v>
      </c>
    </row>
    <row r="492" spans="1:36" s="1735" customFormat="1" ht="18.75" hidden="1" customHeight="1">
      <c r="A492" s="2005"/>
      <c r="B492" s="2004"/>
      <c r="C492" s="1764"/>
      <c r="D492" s="1763"/>
      <c r="E492" s="1762"/>
      <c r="F492" s="1761"/>
      <c r="G492" s="1762"/>
      <c r="H492" s="1925" t="s">
        <v>98</v>
      </c>
      <c r="I492" s="1924" t="s">
        <v>194</v>
      </c>
      <c r="J492" s="1923" t="s">
        <v>750</v>
      </c>
      <c r="K492" s="1923"/>
      <c r="L492" s="1937"/>
      <c r="M492" s="1922" t="s">
        <v>194</v>
      </c>
      <c r="N492" s="1923" t="s">
        <v>1568</v>
      </c>
      <c r="O492" s="1923"/>
      <c r="P492" s="1937"/>
      <c r="Q492" s="1922" t="s">
        <v>194</v>
      </c>
      <c r="R492" s="1785" t="s">
        <v>1567</v>
      </c>
      <c r="S492" s="1785"/>
      <c r="T492" s="1785"/>
      <c r="U492" s="1829"/>
      <c r="V492" s="1937"/>
      <c r="W492" s="1785"/>
      <c r="X492" s="1828"/>
      <c r="Y492" s="1914"/>
      <c r="Z492" s="1913"/>
      <c r="AA492" s="1913"/>
      <c r="AB492" s="1794"/>
      <c r="AC492" s="1954"/>
      <c r="AD492" s="1954"/>
      <c r="AE492" s="1954"/>
      <c r="AF492" s="1954"/>
      <c r="AI492" s="1735" t="str">
        <f>"2A:"&amp;IF(AND(I492="□",M492="□",Q492="□",I493="□",M493="□"),"ketu_doctor_code:0",IF(I492="■","ketu_doctor_code:1:field197:1:ketu_kangos_code:1:ketu_kshoku_code:1",IF(M492="■","ketu_doctor_code:2","ketu_doctor_code:1")
&amp;IF(Q492="■",":field197:2",":field197:1")
&amp;IF(I493="■",":ketu_kangos_code:2",":ketu_kangos_code:1")
&amp;IF(M493="■",":ketu_kshoku_code:2",":ketu_kshoku_code:1")))</f>
        <v>2A:ketu_doctor_code:0</v>
      </c>
    </row>
    <row r="493" spans="1:36" s="1735" customFormat="1" ht="18.75" hidden="1" customHeight="1">
      <c r="A493" s="2005"/>
      <c r="B493" s="2004"/>
      <c r="C493" s="1764"/>
      <c r="D493" s="1763"/>
      <c r="E493" s="1762"/>
      <c r="F493" s="1761"/>
      <c r="G493" s="1762"/>
      <c r="H493" s="1921"/>
      <c r="I493" s="1758" t="s">
        <v>194</v>
      </c>
      <c r="J493" s="1780" t="s">
        <v>1566</v>
      </c>
      <c r="K493" s="1780"/>
      <c r="L493" s="1780"/>
      <c r="M493" s="1757" t="s">
        <v>194</v>
      </c>
      <c r="N493" s="1780" t="s">
        <v>1565</v>
      </c>
      <c r="O493" s="2006"/>
      <c r="P493" s="1780"/>
      <c r="Q493" s="1780"/>
      <c r="R493" s="2006"/>
      <c r="S493" s="1780"/>
      <c r="T493" s="1780"/>
      <c r="U493" s="1827"/>
      <c r="V493" s="2006"/>
      <c r="W493" s="1780"/>
      <c r="X493" s="1826"/>
      <c r="Y493" s="1914"/>
      <c r="Z493" s="1913"/>
      <c r="AA493" s="1913"/>
      <c r="AB493" s="1794"/>
      <c r="AC493" s="1954"/>
      <c r="AD493" s="1954"/>
      <c r="AE493" s="1954"/>
      <c r="AF493" s="1954"/>
    </row>
    <row r="494" spans="1:36" s="1735" customFormat="1" ht="18.75" hidden="1" customHeight="1">
      <c r="A494" s="2005"/>
      <c r="B494" s="2004"/>
      <c r="C494" s="1764"/>
      <c r="D494" s="1763"/>
      <c r="E494" s="1762"/>
      <c r="F494" s="1761"/>
      <c r="G494" s="1762"/>
      <c r="H494" s="1769" t="s">
        <v>99</v>
      </c>
      <c r="I494" s="1773" t="s">
        <v>194</v>
      </c>
      <c r="J494" s="1754" t="s">
        <v>755</v>
      </c>
      <c r="K494" s="1789"/>
      <c r="L494" s="1791"/>
      <c r="M494" s="1772" t="s">
        <v>194</v>
      </c>
      <c r="N494" s="1754" t="s">
        <v>756</v>
      </c>
      <c r="O494" s="1768"/>
      <c r="P494" s="1768"/>
      <c r="Q494" s="1768"/>
      <c r="R494" s="1768"/>
      <c r="S494" s="1768"/>
      <c r="T494" s="1768"/>
      <c r="U494" s="1768"/>
      <c r="V494" s="1768"/>
      <c r="W494" s="1768"/>
      <c r="X494" s="1767"/>
      <c r="Y494" s="1914"/>
      <c r="Z494" s="1913"/>
      <c r="AA494" s="1913"/>
      <c r="AB494" s="1794"/>
      <c r="AC494" s="1954"/>
      <c r="AD494" s="1954"/>
      <c r="AE494" s="1954"/>
      <c r="AF494" s="1954"/>
      <c r="AI494" s="1735" t="str">
        <f>"2A:unitcare_code:" &amp; IF(I494="■",1,IF(M494="■",2,0))</f>
        <v>2A:unitcare_code:0</v>
      </c>
    </row>
    <row r="495" spans="1:36" s="1735" customFormat="1" ht="18.75" hidden="1" customHeight="1">
      <c r="A495" s="1766"/>
      <c r="B495" s="1765"/>
      <c r="C495" s="1916"/>
      <c r="D495" s="1915"/>
      <c r="E495" s="1762"/>
      <c r="F495" s="1761"/>
      <c r="G495" s="1793"/>
      <c r="H495" s="2002" t="s">
        <v>757</v>
      </c>
      <c r="I495" s="1842" t="s">
        <v>194</v>
      </c>
      <c r="J495" s="1837" t="s">
        <v>758</v>
      </c>
      <c r="K495" s="1841"/>
      <c r="L495" s="1840"/>
      <c r="M495" s="1839" t="s">
        <v>194</v>
      </c>
      <c r="N495" s="1837" t="s">
        <v>759</v>
      </c>
      <c r="O495" s="1841"/>
      <c r="P495" s="2001"/>
      <c r="Q495" s="2001"/>
      <c r="R495" s="2001"/>
      <c r="S495" s="2001"/>
      <c r="T495" s="2001"/>
      <c r="U495" s="2001"/>
      <c r="V495" s="2001"/>
      <c r="W495" s="2001"/>
      <c r="X495" s="2000"/>
      <c r="Y495" s="1914"/>
      <c r="Z495" s="1913"/>
      <c r="AA495" s="1913"/>
      <c r="AB495" s="1794"/>
      <c r="AC495" s="1954"/>
      <c r="AD495" s="1954"/>
      <c r="AE495" s="1954"/>
      <c r="AF495" s="1954"/>
      <c r="AI495" s="1735" t="str">
        <f>"2A:sintaikousoku_code:" &amp; IF(I495="■",1,IF(M495="■",2,0))</f>
        <v>2A:sintaikousoku_code:0</v>
      </c>
    </row>
    <row r="496" spans="1:36" s="1735" customFormat="1" ht="19.5" hidden="1" customHeight="1">
      <c r="A496" s="1766"/>
      <c r="B496" s="1765"/>
      <c r="C496" s="1764"/>
      <c r="D496" s="1763"/>
      <c r="E496" s="1762"/>
      <c r="F496" s="1761"/>
      <c r="G496" s="1793"/>
      <c r="H496" s="1792" t="s">
        <v>760</v>
      </c>
      <c r="I496" s="1773" t="s">
        <v>194</v>
      </c>
      <c r="J496" s="1754" t="s">
        <v>758</v>
      </c>
      <c r="K496" s="1789"/>
      <c r="L496" s="1791"/>
      <c r="M496" s="1772" t="s">
        <v>194</v>
      </c>
      <c r="N496" s="1754" t="s">
        <v>761</v>
      </c>
      <c r="O496" s="1920"/>
      <c r="P496" s="1754"/>
      <c r="Q496" s="1768"/>
      <c r="R496" s="1768"/>
      <c r="S496" s="1768"/>
      <c r="T496" s="1768"/>
      <c r="U496" s="1768"/>
      <c r="V496" s="1768"/>
      <c r="W496" s="1768"/>
      <c r="X496" s="1767"/>
      <c r="Y496" s="1913"/>
      <c r="Z496" s="1913"/>
      <c r="AA496" s="1913"/>
      <c r="AB496" s="1794"/>
      <c r="AC496" s="1954"/>
      <c r="AD496" s="1954"/>
      <c r="AE496" s="1954"/>
      <c r="AF496" s="1954"/>
      <c r="AI496" s="1735" t="str">
        <f>"2A:field223:" &amp; IF(I496="■",1,IF(M496="■",2,0))</f>
        <v>2A:field223:0</v>
      </c>
    </row>
    <row r="497" spans="1:35" s="1735" customFormat="1" ht="19.5" hidden="1" customHeight="1">
      <c r="A497" s="1766"/>
      <c r="B497" s="1765"/>
      <c r="C497" s="1764"/>
      <c r="D497" s="1763"/>
      <c r="E497" s="1762"/>
      <c r="F497" s="1761"/>
      <c r="G497" s="1793"/>
      <c r="H497" s="1792" t="s">
        <v>762</v>
      </c>
      <c r="I497" s="1773" t="s">
        <v>194</v>
      </c>
      <c r="J497" s="1754" t="s">
        <v>758</v>
      </c>
      <c r="K497" s="1789"/>
      <c r="L497" s="1791"/>
      <c r="M497" s="1772" t="s">
        <v>194</v>
      </c>
      <c r="N497" s="1754" t="s">
        <v>761</v>
      </c>
      <c r="O497" s="1920"/>
      <c r="P497" s="1754"/>
      <c r="Q497" s="1768"/>
      <c r="R497" s="1768"/>
      <c r="S497" s="1768"/>
      <c r="T497" s="1768"/>
      <c r="U497" s="1768"/>
      <c r="V497" s="1768"/>
      <c r="W497" s="1768"/>
      <c r="X497" s="1767"/>
      <c r="Y497" s="1913"/>
      <c r="Z497" s="1913"/>
      <c r="AA497" s="1913"/>
      <c r="AB497" s="1794"/>
      <c r="AC497" s="1954"/>
      <c r="AD497" s="1954"/>
      <c r="AE497" s="1954"/>
      <c r="AF497" s="1954"/>
      <c r="AI497" s="1735" t="str">
        <f>"2A:field232:" &amp; IF(I497="■",1,IF(M497="■",2,0))</f>
        <v>2A:field232:0</v>
      </c>
    </row>
    <row r="498" spans="1:35" s="1735" customFormat="1" ht="18.75" hidden="1" customHeight="1">
      <c r="A498" s="2005"/>
      <c r="B498" s="2004"/>
      <c r="C498" s="1764"/>
      <c r="D498" s="1763"/>
      <c r="E498" s="1762"/>
      <c r="F498" s="1761"/>
      <c r="G498" s="1762"/>
      <c r="H498" s="1769" t="s">
        <v>1560</v>
      </c>
      <c r="I498" s="1773" t="s">
        <v>194</v>
      </c>
      <c r="J498" s="1754" t="s">
        <v>747</v>
      </c>
      <c r="K498" s="1789"/>
      <c r="L498" s="1791"/>
      <c r="M498" s="1772" t="s">
        <v>194</v>
      </c>
      <c r="N498" s="1754" t="s">
        <v>1556</v>
      </c>
      <c r="O498" s="1768"/>
      <c r="P498" s="1768"/>
      <c r="Q498" s="1768"/>
      <c r="R498" s="1768"/>
      <c r="S498" s="1768"/>
      <c r="T498" s="1768"/>
      <c r="U498" s="1768"/>
      <c r="V498" s="1768"/>
      <c r="W498" s="1768"/>
      <c r="X498" s="1767"/>
      <c r="Y498" s="1914"/>
      <c r="Z498" s="1913"/>
      <c r="AA498" s="1913"/>
      <c r="AB498" s="1794"/>
      <c r="AC498" s="1954"/>
      <c r="AD498" s="1954"/>
      <c r="AE498" s="1954"/>
      <c r="AF498" s="1954"/>
      <c r="AI498" s="1735" t="str">
        <f>"2A:field190:" &amp; IF(I498="■",1,IF(M498="■",2,0))</f>
        <v>2A:field190:0</v>
      </c>
    </row>
    <row r="499" spans="1:35" s="1735" customFormat="1" ht="18.75" hidden="1" customHeight="1">
      <c r="A499" s="2005"/>
      <c r="B499" s="2004"/>
      <c r="C499" s="1764"/>
      <c r="D499" s="1763"/>
      <c r="E499" s="1762"/>
      <c r="F499" s="1761"/>
      <c r="G499" s="1762"/>
      <c r="H499" s="1769" t="s">
        <v>1558</v>
      </c>
      <c r="I499" s="1773" t="s">
        <v>194</v>
      </c>
      <c r="J499" s="1754" t="s">
        <v>747</v>
      </c>
      <c r="K499" s="1789"/>
      <c r="L499" s="1791"/>
      <c r="M499" s="1772" t="s">
        <v>194</v>
      </c>
      <c r="N499" s="1754" t="s">
        <v>1556</v>
      </c>
      <c r="O499" s="1768"/>
      <c r="P499" s="1768"/>
      <c r="Q499" s="1768"/>
      <c r="R499" s="1768"/>
      <c r="S499" s="1768"/>
      <c r="T499" s="1768"/>
      <c r="U499" s="1768"/>
      <c r="V499" s="1768"/>
      <c r="W499" s="1768"/>
      <c r="X499" s="1767"/>
      <c r="Y499" s="1914"/>
      <c r="Z499" s="1913"/>
      <c r="AA499" s="1913"/>
      <c r="AB499" s="1794"/>
      <c r="AC499" s="1954"/>
      <c r="AD499" s="1954"/>
      <c r="AE499" s="1954"/>
      <c r="AF499" s="1954"/>
      <c r="AI499" s="1735" t="str">
        <f>"2A:field191:" &amp; IF(I499="■",1,IF(M499="■",2,0))</f>
        <v>2A:field191:0</v>
      </c>
    </row>
    <row r="500" spans="1:35" s="1735" customFormat="1" ht="18.75" hidden="1" customHeight="1">
      <c r="A500" s="2005"/>
      <c r="B500" s="2004"/>
      <c r="C500" s="1764"/>
      <c r="D500" s="1763"/>
      <c r="E500" s="1762"/>
      <c r="F500" s="1761"/>
      <c r="G500" s="1762"/>
      <c r="H500" s="1769" t="s">
        <v>1498</v>
      </c>
      <c r="I500" s="1773" t="s">
        <v>194</v>
      </c>
      <c r="J500" s="1754" t="s">
        <v>750</v>
      </c>
      <c r="K500" s="1789"/>
      <c r="L500" s="1772" t="s">
        <v>194</v>
      </c>
      <c r="M500" s="1754" t="s">
        <v>764</v>
      </c>
      <c r="N500" s="1768"/>
      <c r="O500" s="1768"/>
      <c r="P500" s="1768"/>
      <c r="Q500" s="1768"/>
      <c r="R500" s="1768"/>
      <c r="S500" s="1768"/>
      <c r="T500" s="1768"/>
      <c r="U500" s="1768"/>
      <c r="V500" s="1768"/>
      <c r="W500" s="1768"/>
      <c r="X500" s="1767"/>
      <c r="Y500" s="1914"/>
      <c r="Z500" s="1913"/>
      <c r="AA500" s="1913"/>
      <c r="AB500" s="1794"/>
      <c r="AC500" s="1954"/>
      <c r="AD500" s="1954"/>
      <c r="AE500" s="1954"/>
      <c r="AF500" s="1954"/>
      <c r="AI500" s="1735" t="str">
        <f>"2A:jyakuninti_uke_code:" &amp; IF(I500="■",1,IF(L500="■",2,0))</f>
        <v>2A:jyakuninti_uke_code:0</v>
      </c>
    </row>
    <row r="501" spans="1:35" s="1735" customFormat="1" ht="18.75" hidden="1" customHeight="1">
      <c r="A501" s="2005"/>
      <c r="B501" s="2004"/>
      <c r="C501" s="1764"/>
      <c r="D501" s="1763"/>
      <c r="E501" s="1762"/>
      <c r="F501" s="1761"/>
      <c r="G501" s="1762"/>
      <c r="H501" s="1769" t="s">
        <v>1666</v>
      </c>
      <c r="I501" s="1773" t="s">
        <v>194</v>
      </c>
      <c r="J501" s="1754" t="s">
        <v>755</v>
      </c>
      <c r="K501" s="1789"/>
      <c r="L501" s="1791"/>
      <c r="M501" s="1772" t="s">
        <v>194</v>
      </c>
      <c r="N501" s="1754" t="s">
        <v>756</v>
      </c>
      <c r="O501" s="1768"/>
      <c r="P501" s="1768"/>
      <c r="Q501" s="1768"/>
      <c r="R501" s="1768"/>
      <c r="S501" s="1768"/>
      <c r="T501" s="1768"/>
      <c r="U501" s="1768"/>
      <c r="V501" s="1768"/>
      <c r="W501" s="1768"/>
      <c r="X501" s="1767"/>
      <c r="Y501" s="1914"/>
      <c r="Z501" s="1913"/>
      <c r="AA501" s="1913"/>
      <c r="AB501" s="1794"/>
      <c r="AC501" s="1954"/>
      <c r="AD501" s="1954"/>
      <c r="AE501" s="1954"/>
      <c r="AF501" s="1954"/>
      <c r="AI501" s="1735" t="str">
        <f>"2A:sougei_code:" &amp; IF(I501="■",1,IF(M501="■",2,0))</f>
        <v>2A:sougei_code:0</v>
      </c>
    </row>
    <row r="502" spans="1:35" s="1735" customFormat="1" ht="19.5" hidden="1" customHeight="1">
      <c r="A502" s="1776" t="s">
        <v>194</v>
      </c>
      <c r="B502" s="2004" t="s">
        <v>1669</v>
      </c>
      <c r="C502" s="1764" t="s">
        <v>1668</v>
      </c>
      <c r="D502" s="1878" t="s">
        <v>194</v>
      </c>
      <c r="E502" s="1762" t="s">
        <v>1671</v>
      </c>
      <c r="F502" s="1878" t="s">
        <v>194</v>
      </c>
      <c r="G502" s="1762" t="s">
        <v>1592</v>
      </c>
      <c r="H502" s="1792" t="s">
        <v>1516</v>
      </c>
      <c r="I502" s="1773" t="s">
        <v>194</v>
      </c>
      <c r="J502" s="1754" t="s">
        <v>750</v>
      </c>
      <c r="K502" s="1754"/>
      <c r="L502" s="1772" t="s">
        <v>194</v>
      </c>
      <c r="M502" s="1754" t="s">
        <v>764</v>
      </c>
      <c r="N502" s="1754"/>
      <c r="O502" s="1768"/>
      <c r="P502" s="1754"/>
      <c r="Q502" s="1768"/>
      <c r="R502" s="1768"/>
      <c r="S502" s="1768"/>
      <c r="T502" s="1768"/>
      <c r="U502" s="1768"/>
      <c r="V502" s="1768"/>
      <c r="W502" s="1768"/>
      <c r="X502" s="1767"/>
      <c r="Y502" s="1913"/>
      <c r="Z502" s="1913"/>
      <c r="AA502" s="1913"/>
      <c r="AB502" s="1794"/>
      <c r="AC502" s="1954"/>
      <c r="AD502" s="1954"/>
      <c r="AE502" s="1954"/>
      <c r="AF502" s="1954"/>
      <c r="AI502" s="1735" t="str">
        <f>"2A:field224:" &amp; IF(I502="■",1,IF(L502="■",2,0))</f>
        <v>2A:field224:0</v>
      </c>
    </row>
    <row r="503" spans="1:35" s="1735" customFormat="1" ht="18.75" hidden="1" customHeight="1">
      <c r="A503" s="2005"/>
      <c r="B503" s="2004"/>
      <c r="C503" s="1764"/>
      <c r="D503" s="1763"/>
      <c r="E503" s="1762"/>
      <c r="F503" s="1878" t="s">
        <v>194</v>
      </c>
      <c r="G503" s="1762" t="s">
        <v>1591</v>
      </c>
      <c r="H503" s="1769" t="s">
        <v>787</v>
      </c>
      <c r="I503" s="1773" t="s">
        <v>194</v>
      </c>
      <c r="J503" s="1754" t="s">
        <v>750</v>
      </c>
      <c r="K503" s="1789"/>
      <c r="L503" s="1772" t="s">
        <v>194</v>
      </c>
      <c r="M503" s="1754" t="s">
        <v>764</v>
      </c>
      <c r="N503" s="1768"/>
      <c r="O503" s="1768"/>
      <c r="P503" s="1768"/>
      <c r="Q503" s="1768"/>
      <c r="R503" s="1768"/>
      <c r="S503" s="1768"/>
      <c r="T503" s="1768"/>
      <c r="U503" s="1768"/>
      <c r="V503" s="1768"/>
      <c r="W503" s="1768"/>
      <c r="X503" s="1767"/>
      <c r="Y503" s="1914"/>
      <c r="Z503" s="1913"/>
      <c r="AA503" s="1913"/>
      <c r="AB503" s="1794"/>
      <c r="AC503" s="1954"/>
      <c r="AD503" s="1954"/>
      <c r="AE503" s="1954"/>
      <c r="AF503" s="1954"/>
      <c r="AI503" s="1735" t="str">
        <f>"2A:ryouyoushoku_code:" &amp; IF(I503="■",1,IF(L503="■",2,0))</f>
        <v>2A:ryouyoushoku_code:0</v>
      </c>
    </row>
    <row r="504" spans="1:35" s="1735" customFormat="1" ht="18.75" hidden="1" customHeight="1">
      <c r="A504" s="2005"/>
      <c r="B504" s="2004"/>
      <c r="C504" s="1764"/>
      <c r="D504" s="1763"/>
      <c r="E504" s="1762"/>
      <c r="F504" s="1763"/>
      <c r="G504" s="1762"/>
      <c r="H504" s="1769" t="s">
        <v>791</v>
      </c>
      <c r="I504" s="1773" t="s">
        <v>194</v>
      </c>
      <c r="J504" s="1754" t="s">
        <v>750</v>
      </c>
      <c r="K504" s="1754"/>
      <c r="L504" s="1772" t="s">
        <v>194</v>
      </c>
      <c r="M504" s="1754" t="s">
        <v>784</v>
      </c>
      <c r="N504" s="1754"/>
      <c r="O504" s="1772" t="s">
        <v>194</v>
      </c>
      <c r="P504" s="1754" t="s">
        <v>785</v>
      </c>
      <c r="Q504" s="1768"/>
      <c r="R504" s="1768"/>
      <c r="S504" s="1768"/>
      <c r="T504" s="1768"/>
      <c r="U504" s="1768"/>
      <c r="V504" s="1768"/>
      <c r="W504" s="1768"/>
      <c r="X504" s="1767"/>
      <c r="Y504" s="1914"/>
      <c r="Z504" s="1913"/>
      <c r="AA504" s="1913"/>
      <c r="AB504" s="1794"/>
      <c r="AC504" s="1954"/>
      <c r="AD504" s="1954"/>
      <c r="AE504" s="1954"/>
      <c r="AF504" s="1954"/>
      <c r="AI504" s="1735" t="str">
        <f>"2A:ninti_senmoncare_code:" &amp; IF(I504="■",1,IF(O504="■",3,IF(L504="■",2,0)))</f>
        <v>2A:ninti_senmoncare_code:0</v>
      </c>
    </row>
    <row r="505" spans="1:35" s="1735" customFormat="1" ht="18.75" hidden="1" customHeight="1">
      <c r="A505" s="2005"/>
      <c r="B505" s="2004"/>
      <c r="C505" s="1764"/>
      <c r="D505" s="1763"/>
      <c r="E505" s="1762"/>
      <c r="F505" s="1763"/>
      <c r="G505" s="1762"/>
      <c r="H505" s="1769" t="s">
        <v>1573</v>
      </c>
      <c r="I505" s="1773" t="s">
        <v>194</v>
      </c>
      <c r="J505" s="1754" t="s">
        <v>750</v>
      </c>
      <c r="K505" s="1754"/>
      <c r="L505" s="1772" t="s">
        <v>194</v>
      </c>
      <c r="M505" s="1754" t="s">
        <v>784</v>
      </c>
      <c r="N505" s="1754"/>
      <c r="O505" s="1772" t="s">
        <v>194</v>
      </c>
      <c r="P505" s="1754" t="s">
        <v>785</v>
      </c>
      <c r="Q505" s="1768"/>
      <c r="R505" s="1768"/>
      <c r="S505" s="1768"/>
      <c r="T505" s="1768"/>
      <c r="U505" s="1768"/>
      <c r="V505" s="1768"/>
      <c r="W505" s="1768"/>
      <c r="X505" s="1767"/>
      <c r="Y505" s="1914"/>
      <c r="Z505" s="1913"/>
      <c r="AA505" s="1913"/>
      <c r="AB505" s="1794"/>
      <c r="AC505" s="1954"/>
      <c r="AD505" s="1954"/>
      <c r="AE505" s="1954"/>
      <c r="AF505" s="1954"/>
      <c r="AI505" s="1735" t="str">
        <f>"2A:field164:" &amp; IF(I505="■",1,IF(L505="■",2,IF(O505="■",3,0)))</f>
        <v>2A:field164:0</v>
      </c>
    </row>
    <row r="506" spans="1:35" s="1735" customFormat="1" ht="18.75" hidden="1" customHeight="1">
      <c r="A506" s="2005"/>
      <c r="B506" s="2004"/>
      <c r="C506" s="1764"/>
      <c r="D506" s="1763"/>
      <c r="E506" s="1762"/>
      <c r="F506" s="1761"/>
      <c r="G506" s="1762"/>
      <c r="H506" s="1925" t="s">
        <v>1670</v>
      </c>
      <c r="I506" s="1924" t="s">
        <v>194</v>
      </c>
      <c r="J506" s="1923" t="s">
        <v>1589</v>
      </c>
      <c r="K506" s="1923"/>
      <c r="L506" s="1829"/>
      <c r="M506" s="1829"/>
      <c r="N506" s="1829"/>
      <c r="O506" s="1829"/>
      <c r="P506" s="1922" t="s">
        <v>194</v>
      </c>
      <c r="Q506" s="1923" t="s">
        <v>1588</v>
      </c>
      <c r="R506" s="1829"/>
      <c r="S506" s="1829"/>
      <c r="T506" s="1829"/>
      <c r="U506" s="1829"/>
      <c r="V506" s="1829"/>
      <c r="W506" s="1829"/>
      <c r="X506" s="1828"/>
      <c r="Y506" s="1914"/>
      <c r="Z506" s="1913"/>
      <c r="AA506" s="1913"/>
      <c r="AB506" s="1794"/>
      <c r="AC506" s="1954"/>
      <c r="AD506" s="1954"/>
      <c r="AE506" s="1954"/>
      <c r="AF506" s="1954"/>
      <c r="AI506" s="1735" t="str">
        <f>"2A:" &amp; IF(AND(I506="□",P506="□",I507="□"),"tokusin_jyusho_code:0:tokusin_yakuzai_code:0:shuudan_comu_code:0",IF(I506="■","tokusin_jyusho_code:2","tokusin_jyusho_code:1")
&amp;IF(P506="■",":tokusin_yakuzai_code:2",":tokusin_yakuzai_code:1")
&amp;IF(I507="■",":shuudan_comu_code:2",":shuudan_comu_code:1"))</f>
        <v>2A:tokusin_jyusho_code:0:tokusin_yakuzai_code:0:shuudan_comu_code:0</v>
      </c>
    </row>
    <row r="507" spans="1:35" s="1735" customFormat="1" ht="18.75" hidden="1" customHeight="1">
      <c r="A507" s="2005"/>
      <c r="B507" s="2004"/>
      <c r="C507" s="1764"/>
      <c r="D507" s="1763"/>
      <c r="E507" s="1762"/>
      <c r="F507" s="1761"/>
      <c r="G507" s="1762"/>
      <c r="H507" s="1921"/>
      <c r="I507" s="1758" t="s">
        <v>194</v>
      </c>
      <c r="J507" s="1756" t="s">
        <v>1585</v>
      </c>
      <c r="K507" s="1827"/>
      <c r="L507" s="1827"/>
      <c r="M507" s="1827"/>
      <c r="N507" s="1827"/>
      <c r="O507" s="1827"/>
      <c r="P507" s="1827"/>
      <c r="Q507" s="1780"/>
      <c r="R507" s="1827"/>
      <c r="S507" s="1827"/>
      <c r="T507" s="1827"/>
      <c r="U507" s="1827"/>
      <c r="V507" s="1827"/>
      <c r="W507" s="1827"/>
      <c r="X507" s="1826"/>
      <c r="Y507" s="1914"/>
      <c r="Z507" s="1913"/>
      <c r="AA507" s="1913"/>
      <c r="AB507" s="1794"/>
      <c r="AC507" s="1954"/>
      <c r="AD507" s="1954"/>
      <c r="AE507" s="1954"/>
      <c r="AF507" s="1954"/>
    </row>
    <row r="508" spans="1:35" s="1735" customFormat="1" ht="18.75" hidden="1" customHeight="1">
      <c r="A508" s="2005"/>
      <c r="B508" s="2004"/>
      <c r="C508" s="1764"/>
      <c r="D508" s="1763"/>
      <c r="E508" s="1762"/>
      <c r="F508" s="1761"/>
      <c r="G508" s="1762"/>
      <c r="H508" s="1925" t="s">
        <v>1584</v>
      </c>
      <c r="I508" s="1924" t="s">
        <v>194</v>
      </c>
      <c r="J508" s="1923" t="s">
        <v>1583</v>
      </c>
      <c r="K508" s="1938"/>
      <c r="L508" s="1937"/>
      <c r="M508" s="1922" t="s">
        <v>194</v>
      </c>
      <c r="N508" s="1923" t="s">
        <v>1582</v>
      </c>
      <c r="O508" s="1829"/>
      <c r="P508" s="1829"/>
      <c r="Q508" s="1922" t="s">
        <v>194</v>
      </c>
      <c r="R508" s="1923" t="s">
        <v>1581</v>
      </c>
      <c r="S508" s="1829"/>
      <c r="T508" s="1829"/>
      <c r="U508" s="1829"/>
      <c r="V508" s="1829"/>
      <c r="W508" s="1829"/>
      <c r="X508" s="1828"/>
      <c r="Y508" s="1914"/>
      <c r="Z508" s="1913"/>
      <c r="AA508" s="1913"/>
      <c r="AB508" s="1794"/>
      <c r="AC508" s="1954"/>
      <c r="AD508" s="1954"/>
      <c r="AE508" s="1954"/>
      <c r="AF508" s="1954"/>
      <c r="AI508" s="1735" t="str">
        <f>"2A:"&amp;IF(AND(I508="□",M508="□",Q508="□",I509="□",Q509="□"),"koriha_rryoho1_code:0:koriha_sryoho_code:0:koriha_gengo_code:0:riha_seisin_code:0:koriha_other_code:0",IF(I508="■","koriha_rryoho1_code:2","koriha_rryoho1_code:1")
&amp;IF(M508="■",":koriha_sryoho_code:2",":koriha_sryoho_code:1")
&amp;IF(Q508="■",":koriha_gengo_code:2",":koriha_gengo_code:1")
&amp;IF(I509="■",":riha_seisin_code:2",":riha_seisin_code:1")
&amp;IF(Q509="■",":koriha_other_code:2",":koriha_other_code:1"))</f>
        <v>2A:koriha_rryoho1_code:0:koriha_sryoho_code:0:koriha_gengo_code:0:riha_seisin_code:0:koriha_other_code:0</v>
      </c>
    </row>
    <row r="509" spans="1:35" s="1735" customFormat="1" ht="18.75" hidden="1" customHeight="1">
      <c r="A509" s="2005"/>
      <c r="B509" s="2004"/>
      <c r="C509" s="1764"/>
      <c r="D509" s="1763"/>
      <c r="E509" s="1762"/>
      <c r="F509" s="1761"/>
      <c r="G509" s="1762"/>
      <c r="H509" s="1921"/>
      <c r="I509" s="1758" t="s">
        <v>194</v>
      </c>
      <c r="J509" s="1756" t="s">
        <v>1580</v>
      </c>
      <c r="K509" s="1827"/>
      <c r="L509" s="1827"/>
      <c r="M509" s="1827"/>
      <c r="N509" s="1827"/>
      <c r="O509" s="1827"/>
      <c r="P509" s="1827"/>
      <c r="Q509" s="1757" t="s">
        <v>194</v>
      </c>
      <c r="R509" s="1756" t="s">
        <v>1579</v>
      </c>
      <c r="S509" s="1780"/>
      <c r="T509" s="1827"/>
      <c r="U509" s="1827"/>
      <c r="V509" s="1827"/>
      <c r="W509" s="1827"/>
      <c r="X509" s="1826"/>
      <c r="Y509" s="1914"/>
      <c r="Z509" s="1913"/>
      <c r="AA509" s="1913"/>
      <c r="AB509" s="1794"/>
      <c r="AC509" s="1954"/>
      <c r="AD509" s="1954"/>
      <c r="AE509" s="1954"/>
      <c r="AF509" s="1954"/>
    </row>
    <row r="510" spans="1:35" s="1735" customFormat="1" ht="18.75" hidden="1" customHeight="1">
      <c r="A510" s="2005"/>
      <c r="B510" s="2004"/>
      <c r="C510" s="1764"/>
      <c r="D510" s="1763"/>
      <c r="E510" s="1762"/>
      <c r="F510" s="1761"/>
      <c r="G510" s="1762"/>
      <c r="H510" s="1917" t="s">
        <v>794</v>
      </c>
      <c r="I510" s="1773" t="s">
        <v>194</v>
      </c>
      <c r="J510" s="1754" t="s">
        <v>750</v>
      </c>
      <c r="K510" s="1754"/>
      <c r="L510" s="1772" t="s">
        <v>194</v>
      </c>
      <c r="M510" s="1754" t="s">
        <v>784</v>
      </c>
      <c r="N510" s="1754"/>
      <c r="O510" s="1772" t="s">
        <v>194</v>
      </c>
      <c r="P510" s="1754" t="s">
        <v>785</v>
      </c>
      <c r="Q510" s="1768"/>
      <c r="R510" s="1768"/>
      <c r="S510" s="1768"/>
      <c r="T510" s="1768"/>
      <c r="U510" s="1829"/>
      <c r="V510" s="1829"/>
      <c r="W510" s="1829"/>
      <c r="X510" s="1828"/>
      <c r="Y510" s="1914"/>
      <c r="Z510" s="1913"/>
      <c r="AA510" s="1913"/>
      <c r="AB510" s="1794"/>
      <c r="AC510" s="1954"/>
      <c r="AD510" s="1954"/>
      <c r="AE510" s="1954"/>
      <c r="AF510" s="1954"/>
      <c r="AI510" s="1735" t="str">
        <f>"2A:field225:" &amp; IF(I510="■",1,IF(L510="■",2,IF(O510="■",3,0)))</f>
        <v>2A:field225:0</v>
      </c>
    </row>
    <row r="511" spans="1:35" s="1735" customFormat="1" ht="18.75" hidden="1" customHeight="1">
      <c r="A511" s="2005"/>
      <c r="B511" s="2004"/>
      <c r="C511" s="1764"/>
      <c r="D511" s="1763"/>
      <c r="E511" s="1762"/>
      <c r="F511" s="1761"/>
      <c r="G511" s="1762"/>
      <c r="H511" s="1759" t="s">
        <v>795</v>
      </c>
      <c r="I511" s="1773" t="s">
        <v>194</v>
      </c>
      <c r="J511" s="1754" t="s">
        <v>750</v>
      </c>
      <c r="K511" s="1754"/>
      <c r="L511" s="1772" t="s">
        <v>194</v>
      </c>
      <c r="M511" s="1754" t="s">
        <v>796</v>
      </c>
      <c r="N511" s="1754"/>
      <c r="O511" s="1772" t="s">
        <v>194</v>
      </c>
      <c r="P511" s="1754" t="s">
        <v>797</v>
      </c>
      <c r="Q511" s="1771"/>
      <c r="R511" s="1772" t="s">
        <v>194</v>
      </c>
      <c r="S511" s="1754" t="s">
        <v>798</v>
      </c>
      <c r="T511" s="1771"/>
      <c r="U511" s="1771"/>
      <c r="V511" s="1771"/>
      <c r="W511" s="1771"/>
      <c r="X511" s="1770"/>
      <c r="Y511" s="1914"/>
      <c r="Z511" s="1913"/>
      <c r="AA511" s="1913"/>
      <c r="AB511" s="1794"/>
      <c r="AC511" s="1954"/>
      <c r="AD511" s="1954"/>
      <c r="AE511" s="1954"/>
      <c r="AF511" s="1954"/>
      <c r="AI511" s="1735" t="str">
        <f>"2A:serteikyo_kyoka_code:" &amp; IF(I511="■",1,IF(L511="■",6,IF(O511="■",5,IF(R511="■",7,0))))</f>
        <v>2A:serteikyo_kyoka_code:0</v>
      </c>
    </row>
    <row r="512" spans="1:35" s="1735" customFormat="1" ht="18.75" hidden="1" customHeight="1">
      <c r="A512" s="2005"/>
      <c r="B512" s="2004"/>
      <c r="C512" s="1764"/>
      <c r="D512" s="1763"/>
      <c r="E512" s="1762"/>
      <c r="F512" s="1761"/>
      <c r="G512" s="1762"/>
      <c r="H512" s="1788" t="s">
        <v>1665</v>
      </c>
      <c r="I512" s="1969" t="s">
        <v>194</v>
      </c>
      <c r="J512" s="1968" t="s">
        <v>750</v>
      </c>
      <c r="K512" s="1968"/>
      <c r="L512" s="1967" t="s">
        <v>194</v>
      </c>
      <c r="M512" s="1968" t="s">
        <v>764</v>
      </c>
      <c r="N512" s="1968"/>
      <c r="O512" s="1923"/>
      <c r="P512" s="1923"/>
      <c r="Q512" s="1923"/>
      <c r="R512" s="1923"/>
      <c r="S512" s="1923"/>
      <c r="T512" s="1923"/>
      <c r="U512" s="1923"/>
      <c r="V512" s="1923"/>
      <c r="W512" s="1923"/>
      <c r="X512" s="1956"/>
      <c r="Y512" s="1914"/>
      <c r="Z512" s="1913"/>
      <c r="AA512" s="1913"/>
      <c r="AB512" s="1794"/>
      <c r="AC512" s="1954"/>
      <c r="AD512" s="1954"/>
      <c r="AE512" s="1954"/>
      <c r="AF512" s="1954"/>
      <c r="AI512" s="1735" t="str">
        <f>"2A:field221:" &amp; IF(I512="■",1,IF(L512="■",2,0))</f>
        <v>2A:field221:0</v>
      </c>
    </row>
    <row r="513" spans="1:36" s="1735" customFormat="1" ht="18.75" hidden="1" customHeight="1">
      <c r="A513" s="2005"/>
      <c r="B513" s="2004"/>
      <c r="C513" s="1764"/>
      <c r="D513" s="1763"/>
      <c r="E513" s="1762"/>
      <c r="F513" s="1761"/>
      <c r="G513" s="1762"/>
      <c r="H513" s="1783"/>
      <c r="I513" s="1969"/>
      <c r="J513" s="1968"/>
      <c r="K513" s="1968"/>
      <c r="L513" s="1967"/>
      <c r="M513" s="1968"/>
      <c r="N513" s="1968"/>
      <c r="O513" s="1756"/>
      <c r="P513" s="1756"/>
      <c r="Q513" s="1756"/>
      <c r="R513" s="1756"/>
      <c r="S513" s="1756"/>
      <c r="T513" s="1756"/>
      <c r="U513" s="1756"/>
      <c r="V513" s="1756"/>
      <c r="W513" s="1756"/>
      <c r="X513" s="1814"/>
      <c r="Y513" s="1914"/>
      <c r="Z513" s="1913"/>
      <c r="AA513" s="1913"/>
      <c r="AB513" s="1794"/>
      <c r="AC513" s="1954"/>
      <c r="AD513" s="1954"/>
      <c r="AE513" s="1954"/>
      <c r="AF513" s="1954"/>
    </row>
    <row r="514" spans="1:36" s="1735" customFormat="1" ht="18.75" hidden="1" customHeight="1">
      <c r="A514" s="1752"/>
      <c r="B514" s="1751"/>
      <c r="C514" s="1750"/>
      <c r="D514" s="1749"/>
      <c r="E514" s="1748"/>
      <c r="F514" s="1747"/>
      <c r="G514" s="1808"/>
      <c r="H514" s="1909" t="s">
        <v>1553</v>
      </c>
      <c r="I514" s="1744" t="s">
        <v>194</v>
      </c>
      <c r="J514" s="1905" t="s">
        <v>750</v>
      </c>
      <c r="K514" s="1905"/>
      <c r="L514" s="1743" t="s">
        <v>194</v>
      </c>
      <c r="M514" s="1905" t="s">
        <v>1552</v>
      </c>
      <c r="N514" s="1908"/>
      <c r="O514" s="1743" t="s">
        <v>194</v>
      </c>
      <c r="P514" s="1907" t="s">
        <v>1551</v>
      </c>
      <c r="Q514" s="1906"/>
      <c r="R514" s="1743" t="s">
        <v>194</v>
      </c>
      <c r="S514" s="1905" t="s">
        <v>1550</v>
      </c>
      <c r="T514" s="1906"/>
      <c r="U514" s="1743" t="s">
        <v>194</v>
      </c>
      <c r="V514" s="1905" t="s">
        <v>1549</v>
      </c>
      <c r="W514" s="1904"/>
      <c r="X514" s="1903"/>
      <c r="Y514" s="1902"/>
      <c r="Z514" s="1902"/>
      <c r="AA514" s="1902"/>
      <c r="AB514" s="1901"/>
      <c r="AC514" s="1953"/>
      <c r="AD514" s="1953"/>
      <c r="AE514" s="1953"/>
      <c r="AF514" s="1953"/>
      <c r="AI514" s="1735" t="str">
        <f>"2A:shoguukaizen_code:"&amp;IF(I514="■",1,IF(L514="■",7,IF(O514="■",8,IF(R514="■",9,IF(U514="■","A",0)))))</f>
        <v>2A:shoguukaizen_code:0</v>
      </c>
    </row>
    <row r="515" spans="1:36" s="1735" customFormat="1" ht="18.75" hidden="1" customHeight="1">
      <c r="A515" s="2009"/>
      <c r="B515" s="2008"/>
      <c r="C515" s="1849"/>
      <c r="D515" s="1848"/>
      <c r="E515" s="1804"/>
      <c r="F515" s="1803"/>
      <c r="G515" s="1804"/>
      <c r="H515" s="1885" t="s">
        <v>746</v>
      </c>
      <c r="I515" s="1873" t="s">
        <v>194</v>
      </c>
      <c r="J515" s="1872" t="s">
        <v>747</v>
      </c>
      <c r="K515" s="1932"/>
      <c r="L515" s="2007"/>
      <c r="M515" s="1931" t="s">
        <v>194</v>
      </c>
      <c r="N515" s="1872" t="s">
        <v>1572</v>
      </c>
      <c r="O515" s="1930"/>
      <c r="P515" s="1930"/>
      <c r="Q515" s="1931" t="s">
        <v>194</v>
      </c>
      <c r="R515" s="1872" t="s">
        <v>1571</v>
      </c>
      <c r="S515" s="1930"/>
      <c r="T515" s="1930"/>
      <c r="U515" s="1931" t="s">
        <v>194</v>
      </c>
      <c r="V515" s="1872" t="s">
        <v>1570</v>
      </c>
      <c r="W515" s="1930"/>
      <c r="X515" s="1886"/>
      <c r="Y515" s="1873" t="s">
        <v>194</v>
      </c>
      <c r="Z515" s="1872" t="s">
        <v>749</v>
      </c>
      <c r="AA515" s="1872"/>
      <c r="AB515" s="1929"/>
      <c r="AC515" s="1959"/>
      <c r="AD515" s="1959"/>
      <c r="AE515" s="1959"/>
      <c r="AF515" s="1959"/>
      <c r="AG515" s="1735" t="str">
        <f>"ser_code = '" &amp; IF(A527="■","2A","") &amp; "'"</f>
        <v>ser_code = ''</v>
      </c>
      <c r="AI515" s="1735" t="str">
        <f>"2A:yakan_kinmu_code:" &amp; IF(I515="■",1,IF(M515="■",2,IF(Q515="■",3,IF(U515="■",7,IF(I516="■",5,IF(M516="■",6,0))))))</f>
        <v>2A:yakan_kinmu_code:0</v>
      </c>
      <c r="AJ515" s="1735" t="str">
        <f>"2A:field203:" &amp; IF(Y515="■",1,IF(Y516="■",2,0))</f>
        <v>2A:field203:0</v>
      </c>
    </row>
    <row r="516" spans="1:36" s="1735" customFormat="1" ht="18.75" hidden="1" customHeight="1">
      <c r="A516" s="2005"/>
      <c r="B516" s="2004"/>
      <c r="C516" s="1764"/>
      <c r="D516" s="1763"/>
      <c r="E516" s="1762"/>
      <c r="F516" s="1761"/>
      <c r="G516" s="1762"/>
      <c r="H516" s="1921"/>
      <c r="I516" s="1758" t="s">
        <v>194</v>
      </c>
      <c r="J516" s="1756" t="s">
        <v>1569</v>
      </c>
      <c r="K516" s="1755"/>
      <c r="L516" s="2006"/>
      <c r="M516" s="1757" t="s">
        <v>194</v>
      </c>
      <c r="N516" s="1756" t="s">
        <v>748</v>
      </c>
      <c r="O516" s="1780"/>
      <c r="P516" s="1780"/>
      <c r="Q516" s="1780"/>
      <c r="R516" s="1780"/>
      <c r="S516" s="1780"/>
      <c r="T516" s="1780"/>
      <c r="U516" s="1780"/>
      <c r="V516" s="1780"/>
      <c r="W516" s="1780"/>
      <c r="X516" s="1779"/>
      <c r="Y516" s="1878" t="s">
        <v>194</v>
      </c>
      <c r="Z516" s="1738" t="s">
        <v>754</v>
      </c>
      <c r="AA516" s="1913"/>
      <c r="AB516" s="1794"/>
      <c r="AC516" s="1970"/>
      <c r="AD516" s="1970"/>
      <c r="AE516" s="1970"/>
      <c r="AF516" s="1970"/>
      <c r="AG516" s="1735" t="str">
        <f>"2A:sisetukbn_code:"&amp;IF(D527="■","5",0)</f>
        <v>2A:sisetukbn_code:0</v>
      </c>
    </row>
    <row r="517" spans="1:36" s="1735" customFormat="1" ht="18.75" hidden="1" customHeight="1">
      <c r="A517" s="2005"/>
      <c r="B517" s="2004"/>
      <c r="C517" s="1764"/>
      <c r="D517" s="1763"/>
      <c r="E517" s="1762"/>
      <c r="F517" s="1761"/>
      <c r="G517" s="1762"/>
      <c r="H517" s="1925" t="s">
        <v>98</v>
      </c>
      <c r="I517" s="1924" t="s">
        <v>194</v>
      </c>
      <c r="J517" s="1923" t="s">
        <v>750</v>
      </c>
      <c r="K517" s="1923"/>
      <c r="L517" s="1937"/>
      <c r="M517" s="1922" t="s">
        <v>194</v>
      </c>
      <c r="N517" s="1923" t="s">
        <v>1568</v>
      </c>
      <c r="O517" s="1923"/>
      <c r="P517" s="1937"/>
      <c r="Q517" s="1922" t="s">
        <v>194</v>
      </c>
      <c r="R517" s="1785" t="s">
        <v>1567</v>
      </c>
      <c r="S517" s="1785"/>
      <c r="T517" s="1785"/>
      <c r="U517" s="1829"/>
      <c r="V517" s="1937"/>
      <c r="W517" s="1785"/>
      <c r="X517" s="1828"/>
      <c r="Y517" s="1914"/>
      <c r="Z517" s="1913"/>
      <c r="AA517" s="1913"/>
      <c r="AB517" s="1794"/>
      <c r="AC517" s="1954"/>
      <c r="AD517" s="1954"/>
      <c r="AE517" s="1954"/>
      <c r="AF517" s="1954"/>
      <c r="AI517" s="1735" t="str">
        <f>"2A:"&amp;IF(AND(I517="□",M517="□",Q517="□",I518="□",M518="□"),"ketu_doctor_code:0",IF(I517="■","ketu_doctor_code:1:field197:1:ketu_kangos_code:1:ketu_kshoku_code:1",IF(M517="■","ketu_doctor_code:2","ketu_doctor_code:1")
&amp;IF(Q517="■",":field197:2",":field197:1")
&amp;IF(I518="■",":ketu_kangos_code:2",":ketu_kangos_code:1")
&amp;IF(M518="■",":ketu_kshoku_code:2",":ketu_kshoku_code:1")))</f>
        <v>2A:ketu_doctor_code:0</v>
      </c>
    </row>
    <row r="518" spans="1:36" s="1735" customFormat="1" ht="18.75" hidden="1" customHeight="1">
      <c r="A518" s="2005"/>
      <c r="B518" s="2004"/>
      <c r="C518" s="1764"/>
      <c r="D518" s="1763"/>
      <c r="E518" s="1762"/>
      <c r="F518" s="1761"/>
      <c r="G518" s="1762"/>
      <c r="H518" s="1921"/>
      <c r="I518" s="1758" t="s">
        <v>194</v>
      </c>
      <c r="J518" s="1780" t="s">
        <v>1566</v>
      </c>
      <c r="K518" s="1780"/>
      <c r="L518" s="1780"/>
      <c r="M518" s="1757" t="s">
        <v>194</v>
      </c>
      <c r="N518" s="1780" t="s">
        <v>1565</v>
      </c>
      <c r="O518" s="2006"/>
      <c r="P518" s="1780"/>
      <c r="Q518" s="1780"/>
      <c r="R518" s="2006"/>
      <c r="S518" s="1780"/>
      <c r="T518" s="1780"/>
      <c r="U518" s="1827"/>
      <c r="V518" s="2006"/>
      <c r="W518" s="1780"/>
      <c r="X518" s="1826"/>
      <c r="Y518" s="1914"/>
      <c r="Z518" s="1913"/>
      <c r="AA518" s="1913"/>
      <c r="AB518" s="1794"/>
      <c r="AC518" s="1954"/>
      <c r="AD518" s="1954"/>
      <c r="AE518" s="1954"/>
      <c r="AF518" s="1954"/>
    </row>
    <row r="519" spans="1:36" s="1735" customFormat="1" ht="18.75" hidden="1" customHeight="1">
      <c r="A519" s="2005"/>
      <c r="B519" s="2004"/>
      <c r="C519" s="1764"/>
      <c r="D519" s="1763"/>
      <c r="E519" s="1762"/>
      <c r="F519" s="1761"/>
      <c r="G519" s="1762"/>
      <c r="H519" s="1769" t="s">
        <v>99</v>
      </c>
      <c r="I519" s="1773" t="s">
        <v>194</v>
      </c>
      <c r="J519" s="1754" t="s">
        <v>755</v>
      </c>
      <c r="K519" s="1789"/>
      <c r="L519" s="1791"/>
      <c r="M519" s="1772" t="s">
        <v>194</v>
      </c>
      <c r="N519" s="1754" t="s">
        <v>756</v>
      </c>
      <c r="O519" s="1768"/>
      <c r="P519" s="1768"/>
      <c r="Q519" s="1768"/>
      <c r="R519" s="1768"/>
      <c r="S519" s="1768"/>
      <c r="T519" s="1768"/>
      <c r="U519" s="1768"/>
      <c r="V519" s="1768"/>
      <c r="W519" s="1768"/>
      <c r="X519" s="1767"/>
      <c r="Y519" s="1914"/>
      <c r="Z519" s="1913"/>
      <c r="AA519" s="1913"/>
      <c r="AB519" s="1794"/>
      <c r="AC519" s="1954"/>
      <c r="AD519" s="1954"/>
      <c r="AE519" s="1954"/>
      <c r="AF519" s="1954"/>
      <c r="AI519" s="1735" t="str">
        <f>"2A:unitcare_code:" &amp; IF(I519="■",1,IF(M519="■",2,0))</f>
        <v>2A:unitcare_code:0</v>
      </c>
    </row>
    <row r="520" spans="1:36" s="1735" customFormat="1" ht="18.75" hidden="1" customHeight="1">
      <c r="A520" s="1766"/>
      <c r="B520" s="1765"/>
      <c r="C520" s="1916"/>
      <c r="D520" s="1915"/>
      <c r="E520" s="1762"/>
      <c r="F520" s="1761"/>
      <c r="G520" s="1793"/>
      <c r="H520" s="2002" t="s">
        <v>757</v>
      </c>
      <c r="I520" s="1842" t="s">
        <v>194</v>
      </c>
      <c r="J520" s="1837" t="s">
        <v>758</v>
      </c>
      <c r="K520" s="1841"/>
      <c r="L520" s="1840"/>
      <c r="M520" s="1839" t="s">
        <v>194</v>
      </c>
      <c r="N520" s="1837" t="s">
        <v>759</v>
      </c>
      <c r="O520" s="1841"/>
      <c r="P520" s="2001"/>
      <c r="Q520" s="2001"/>
      <c r="R520" s="2001"/>
      <c r="S520" s="2001"/>
      <c r="T520" s="2001"/>
      <c r="U520" s="2001"/>
      <c r="V520" s="2001"/>
      <c r="W520" s="2001"/>
      <c r="X520" s="2000"/>
      <c r="Y520" s="1914"/>
      <c r="Z520" s="1913"/>
      <c r="AA520" s="1913"/>
      <c r="AB520" s="1794"/>
      <c r="AC520" s="1954"/>
      <c r="AD520" s="1954"/>
      <c r="AE520" s="1954"/>
      <c r="AF520" s="1954"/>
      <c r="AI520" s="1735" t="str">
        <f>"2A:sintaikousoku_code:" &amp; IF(I520="■",1,IF(M520="■",2,0))</f>
        <v>2A:sintaikousoku_code:0</v>
      </c>
    </row>
    <row r="521" spans="1:36" s="1735" customFormat="1" ht="19.5" hidden="1" customHeight="1">
      <c r="A521" s="1766"/>
      <c r="B521" s="1765"/>
      <c r="C521" s="1764"/>
      <c r="D521" s="1763"/>
      <c r="E521" s="1762"/>
      <c r="F521" s="1761"/>
      <c r="G521" s="1793"/>
      <c r="H521" s="1792" t="s">
        <v>760</v>
      </c>
      <c r="I521" s="1773" t="s">
        <v>194</v>
      </c>
      <c r="J521" s="1754" t="s">
        <v>758</v>
      </c>
      <c r="K521" s="1789"/>
      <c r="L521" s="1791"/>
      <c r="M521" s="1772" t="s">
        <v>194</v>
      </c>
      <c r="N521" s="1754" t="s">
        <v>761</v>
      </c>
      <c r="O521" s="1920"/>
      <c r="P521" s="1754"/>
      <c r="Q521" s="1768"/>
      <c r="R521" s="1768"/>
      <c r="S521" s="1768"/>
      <c r="T521" s="1768"/>
      <c r="U521" s="1768"/>
      <c r="V521" s="1768"/>
      <c r="W521" s="1768"/>
      <c r="X521" s="1767"/>
      <c r="Y521" s="1913"/>
      <c r="Z521" s="1913"/>
      <c r="AA521" s="1913"/>
      <c r="AB521" s="1794"/>
      <c r="AC521" s="1954"/>
      <c r="AD521" s="1954"/>
      <c r="AE521" s="1954"/>
      <c r="AF521" s="1954"/>
      <c r="AI521" s="1735" t="str">
        <f>"2A:field223:" &amp; IF(I521="■",1,IF(M521="■",2,0))</f>
        <v>2A:field223:0</v>
      </c>
    </row>
    <row r="522" spans="1:36" s="1735" customFormat="1" ht="19.5" hidden="1" customHeight="1">
      <c r="A522" s="1766"/>
      <c r="B522" s="1765"/>
      <c r="C522" s="1764"/>
      <c r="D522" s="1763"/>
      <c r="E522" s="1762"/>
      <c r="F522" s="1761"/>
      <c r="G522" s="1793"/>
      <c r="H522" s="1792" t="s">
        <v>762</v>
      </c>
      <c r="I522" s="1773" t="s">
        <v>194</v>
      </c>
      <c r="J522" s="1754" t="s">
        <v>758</v>
      </c>
      <c r="K522" s="1789"/>
      <c r="L522" s="1791"/>
      <c r="M522" s="1772" t="s">
        <v>194</v>
      </c>
      <c r="N522" s="1754" t="s">
        <v>761</v>
      </c>
      <c r="O522" s="1920"/>
      <c r="P522" s="1754"/>
      <c r="Q522" s="1768"/>
      <c r="R522" s="1768"/>
      <c r="S522" s="1768"/>
      <c r="T522" s="1768"/>
      <c r="U522" s="1768"/>
      <c r="V522" s="1768"/>
      <c r="W522" s="1768"/>
      <c r="X522" s="1767"/>
      <c r="Y522" s="1913"/>
      <c r="Z522" s="1913"/>
      <c r="AA522" s="1913"/>
      <c r="AB522" s="1794"/>
      <c r="AC522" s="1954"/>
      <c r="AD522" s="1954"/>
      <c r="AE522" s="1954"/>
      <c r="AF522" s="1954"/>
      <c r="AI522" s="1735" t="str">
        <f>"2A:field232:" &amp; IF(I522="■",1,IF(M522="■",2,0))</f>
        <v>2A:field232:0</v>
      </c>
    </row>
    <row r="523" spans="1:36" s="1735" customFormat="1" ht="18.75" hidden="1" customHeight="1">
      <c r="A523" s="2005"/>
      <c r="B523" s="2004"/>
      <c r="C523" s="1764"/>
      <c r="D523" s="1763"/>
      <c r="E523" s="1762"/>
      <c r="F523" s="1761"/>
      <c r="G523" s="1762"/>
      <c r="H523" s="1769" t="s">
        <v>1560</v>
      </c>
      <c r="I523" s="1773" t="s">
        <v>194</v>
      </c>
      <c r="J523" s="1754" t="s">
        <v>747</v>
      </c>
      <c r="K523" s="1789"/>
      <c r="L523" s="1791"/>
      <c r="M523" s="1772" t="s">
        <v>194</v>
      </c>
      <c r="N523" s="1754" t="s">
        <v>1556</v>
      </c>
      <c r="O523" s="1768"/>
      <c r="P523" s="1768"/>
      <c r="Q523" s="1768"/>
      <c r="R523" s="1768"/>
      <c r="S523" s="1768"/>
      <c r="T523" s="1768"/>
      <c r="U523" s="1768"/>
      <c r="V523" s="1768"/>
      <c r="W523" s="1768"/>
      <c r="X523" s="1767"/>
      <c r="Y523" s="1914"/>
      <c r="Z523" s="1913"/>
      <c r="AA523" s="1913"/>
      <c r="AB523" s="1794"/>
      <c r="AC523" s="1954"/>
      <c r="AD523" s="1954"/>
      <c r="AE523" s="1954"/>
      <c r="AF523" s="1954"/>
      <c r="AI523" s="1735" t="str">
        <f>"2A:field190:" &amp; IF(I523="■",1,IF(M523="■",2,0))</f>
        <v>2A:field190:0</v>
      </c>
    </row>
    <row r="524" spans="1:36" s="1735" customFormat="1" ht="18.75" hidden="1" customHeight="1">
      <c r="A524" s="2005"/>
      <c r="B524" s="2004"/>
      <c r="C524" s="1764"/>
      <c r="D524" s="1763"/>
      <c r="E524" s="1762"/>
      <c r="F524" s="1761"/>
      <c r="G524" s="1762"/>
      <c r="H524" s="1769" t="s">
        <v>1558</v>
      </c>
      <c r="I524" s="1773" t="s">
        <v>194</v>
      </c>
      <c r="J524" s="1754" t="s">
        <v>747</v>
      </c>
      <c r="K524" s="1789"/>
      <c r="L524" s="1791"/>
      <c r="M524" s="1772" t="s">
        <v>194</v>
      </c>
      <c r="N524" s="1754" t="s">
        <v>1556</v>
      </c>
      <c r="O524" s="1768"/>
      <c r="P524" s="1768"/>
      <c r="Q524" s="1768"/>
      <c r="R524" s="1768"/>
      <c r="S524" s="1768"/>
      <c r="T524" s="1768"/>
      <c r="U524" s="1768"/>
      <c r="V524" s="1768"/>
      <c r="W524" s="1768"/>
      <c r="X524" s="1767"/>
      <c r="Y524" s="1914"/>
      <c r="Z524" s="1913"/>
      <c r="AA524" s="1913"/>
      <c r="AB524" s="1794"/>
      <c r="AC524" s="1954"/>
      <c r="AD524" s="1954"/>
      <c r="AE524" s="1954"/>
      <c r="AF524" s="1954"/>
      <c r="AI524" s="1735" t="str">
        <f>"2A:field191:" &amp; IF(I524="■",1,IF(M524="■",2,0))</f>
        <v>2A:field191:0</v>
      </c>
    </row>
    <row r="525" spans="1:36" s="1735" customFormat="1" ht="18.75" hidden="1" customHeight="1">
      <c r="A525" s="2005"/>
      <c r="B525" s="2004"/>
      <c r="C525" s="1764"/>
      <c r="D525" s="1763"/>
      <c r="E525" s="1762"/>
      <c r="F525" s="1761"/>
      <c r="G525" s="1762"/>
      <c r="H525" s="1769" t="s">
        <v>1498</v>
      </c>
      <c r="I525" s="1773" t="s">
        <v>194</v>
      </c>
      <c r="J525" s="1754" t="s">
        <v>750</v>
      </c>
      <c r="K525" s="1789"/>
      <c r="L525" s="1772" t="s">
        <v>194</v>
      </c>
      <c r="M525" s="1754" t="s">
        <v>764</v>
      </c>
      <c r="N525" s="1768"/>
      <c r="O525" s="1768"/>
      <c r="P525" s="1768"/>
      <c r="Q525" s="1768"/>
      <c r="R525" s="1768"/>
      <c r="S525" s="1768"/>
      <c r="T525" s="1768"/>
      <c r="U525" s="1768"/>
      <c r="V525" s="1768"/>
      <c r="W525" s="1768"/>
      <c r="X525" s="1767"/>
      <c r="Y525" s="1914"/>
      <c r="Z525" s="1913"/>
      <c r="AA525" s="1913"/>
      <c r="AB525" s="1794"/>
      <c r="AC525" s="1954"/>
      <c r="AD525" s="1954"/>
      <c r="AE525" s="1954"/>
      <c r="AF525" s="1954"/>
      <c r="AI525" s="1735" t="str">
        <f>"2A:jyakuninti_uke_code:" &amp; IF(I525="■",1,IF(L525="■",2,0))</f>
        <v>2A:jyakuninti_uke_code:0</v>
      </c>
    </row>
    <row r="526" spans="1:36" s="1735" customFormat="1" ht="18.75" hidden="1" customHeight="1">
      <c r="A526" s="2005"/>
      <c r="B526" s="2004"/>
      <c r="C526" s="1764"/>
      <c r="D526" s="1763"/>
      <c r="E526" s="1762"/>
      <c r="F526" s="1761"/>
      <c r="G526" s="1762"/>
      <c r="H526" s="1769" t="s">
        <v>1666</v>
      </c>
      <c r="I526" s="1773" t="s">
        <v>194</v>
      </c>
      <c r="J526" s="1754" t="s">
        <v>755</v>
      </c>
      <c r="K526" s="1789"/>
      <c r="L526" s="1791"/>
      <c r="M526" s="1772" t="s">
        <v>194</v>
      </c>
      <c r="N526" s="1754" t="s">
        <v>756</v>
      </c>
      <c r="O526" s="1768"/>
      <c r="P526" s="1768"/>
      <c r="Q526" s="1768"/>
      <c r="R526" s="1768"/>
      <c r="S526" s="1768"/>
      <c r="T526" s="1768"/>
      <c r="U526" s="1768"/>
      <c r="V526" s="1768"/>
      <c r="W526" s="1768"/>
      <c r="X526" s="1767"/>
      <c r="Y526" s="1914"/>
      <c r="Z526" s="1913"/>
      <c r="AA526" s="1913"/>
      <c r="AB526" s="1794"/>
      <c r="AC526" s="1954"/>
      <c r="AD526" s="1954"/>
      <c r="AE526" s="1954"/>
      <c r="AF526" s="1954"/>
      <c r="AI526" s="1735" t="str">
        <f>"2A:sougei_code:" &amp; IF(I526="■",1,IF(M526="■",2,0))</f>
        <v>2A:sougei_code:0</v>
      </c>
    </row>
    <row r="527" spans="1:36" s="1735" customFormat="1" ht="19.5" hidden="1" customHeight="1">
      <c r="A527" s="1776" t="s">
        <v>194</v>
      </c>
      <c r="B527" s="2004" t="s">
        <v>1669</v>
      </c>
      <c r="C527" s="1764" t="s">
        <v>1668</v>
      </c>
      <c r="D527" s="1878" t="s">
        <v>194</v>
      </c>
      <c r="E527" s="1762" t="s">
        <v>1586</v>
      </c>
      <c r="F527" s="1761"/>
      <c r="G527" s="1793"/>
      <c r="H527" s="1792" t="s">
        <v>1516</v>
      </c>
      <c r="I527" s="1773" t="s">
        <v>194</v>
      </c>
      <c r="J527" s="1754" t="s">
        <v>750</v>
      </c>
      <c r="K527" s="1754"/>
      <c r="L527" s="1772" t="s">
        <v>194</v>
      </c>
      <c r="M527" s="1754" t="s">
        <v>764</v>
      </c>
      <c r="N527" s="1754"/>
      <c r="O527" s="1768"/>
      <c r="P527" s="1754"/>
      <c r="Q527" s="1768"/>
      <c r="R527" s="1768"/>
      <c r="S527" s="1768"/>
      <c r="T527" s="1768"/>
      <c r="U527" s="1768"/>
      <c r="V527" s="1768"/>
      <c r="W527" s="1768"/>
      <c r="X527" s="1767"/>
      <c r="Y527" s="1913"/>
      <c r="Z527" s="1913"/>
      <c r="AA527" s="1913"/>
      <c r="AB527" s="1794"/>
      <c r="AC527" s="1954"/>
      <c r="AD527" s="1954"/>
      <c r="AE527" s="1954"/>
      <c r="AF527" s="1954"/>
      <c r="AI527" s="1735" t="str">
        <f>"2A:field224:" &amp; IF(I527="■",1,IF(L527="■",2,0))</f>
        <v>2A:field224:0</v>
      </c>
    </row>
    <row r="528" spans="1:36" s="1735" customFormat="1" ht="18.75" hidden="1" customHeight="1">
      <c r="A528" s="2005"/>
      <c r="B528" s="2004"/>
      <c r="C528" s="1764"/>
      <c r="D528" s="1763"/>
      <c r="E528" s="1762"/>
      <c r="F528" s="1761"/>
      <c r="G528" s="1762"/>
      <c r="H528" s="1769" t="s">
        <v>787</v>
      </c>
      <c r="I528" s="1773" t="s">
        <v>194</v>
      </c>
      <c r="J528" s="1754" t="s">
        <v>750</v>
      </c>
      <c r="K528" s="1789"/>
      <c r="L528" s="1772" t="s">
        <v>194</v>
      </c>
      <c r="M528" s="1754" t="s">
        <v>764</v>
      </c>
      <c r="N528" s="1768"/>
      <c r="O528" s="1768"/>
      <c r="P528" s="1768"/>
      <c r="Q528" s="1768"/>
      <c r="R528" s="1768"/>
      <c r="S528" s="1768"/>
      <c r="T528" s="1768"/>
      <c r="U528" s="1768"/>
      <c r="V528" s="1768"/>
      <c r="W528" s="1768"/>
      <c r="X528" s="1767"/>
      <c r="Y528" s="1914"/>
      <c r="Z528" s="1913"/>
      <c r="AA528" s="1913"/>
      <c r="AB528" s="1794"/>
      <c r="AC528" s="1954"/>
      <c r="AD528" s="1954"/>
      <c r="AE528" s="1954"/>
      <c r="AF528" s="1954"/>
      <c r="AI528" s="1735" t="str">
        <f>"2A:ryouyoushoku_code:" &amp; IF(I528="■",1,IF(L528="■",2,0))</f>
        <v>2A:ryouyoushoku_code:0</v>
      </c>
    </row>
    <row r="529" spans="1:36" s="1735" customFormat="1" ht="18.75" hidden="1" customHeight="1">
      <c r="A529" s="2005"/>
      <c r="B529" s="2004"/>
      <c r="C529" s="1764"/>
      <c r="D529" s="1763"/>
      <c r="E529" s="1762"/>
      <c r="F529" s="1761"/>
      <c r="G529" s="1762"/>
      <c r="H529" s="1769" t="s">
        <v>791</v>
      </c>
      <c r="I529" s="1773" t="s">
        <v>194</v>
      </c>
      <c r="J529" s="1754" t="s">
        <v>750</v>
      </c>
      <c r="K529" s="1754"/>
      <c r="L529" s="1772" t="s">
        <v>194</v>
      </c>
      <c r="M529" s="1754" t="s">
        <v>784</v>
      </c>
      <c r="N529" s="1754"/>
      <c r="O529" s="1772" t="s">
        <v>194</v>
      </c>
      <c r="P529" s="1754" t="s">
        <v>785</v>
      </c>
      <c r="Q529" s="1768"/>
      <c r="R529" s="1768"/>
      <c r="S529" s="1768"/>
      <c r="T529" s="1768"/>
      <c r="U529" s="1768"/>
      <c r="V529" s="1768"/>
      <c r="W529" s="1768"/>
      <c r="X529" s="1767"/>
      <c r="Y529" s="1914"/>
      <c r="Z529" s="1913"/>
      <c r="AA529" s="1913"/>
      <c r="AB529" s="1794"/>
      <c r="AC529" s="1954"/>
      <c r="AD529" s="1954"/>
      <c r="AE529" s="1954"/>
      <c r="AF529" s="1954"/>
      <c r="AI529" s="1735" t="str">
        <f>"2A:ninti_senmoncare_code:" &amp; IF(I529="■",1,IF(O529="■",3,IF(L529="■",2,0)))</f>
        <v>2A:ninti_senmoncare_code:0</v>
      </c>
    </row>
    <row r="530" spans="1:36" s="1735" customFormat="1" ht="18.75" hidden="1" customHeight="1">
      <c r="A530" s="2005"/>
      <c r="B530" s="2004"/>
      <c r="C530" s="1764"/>
      <c r="D530" s="1763"/>
      <c r="E530" s="1762"/>
      <c r="F530" s="1761"/>
      <c r="G530" s="1762"/>
      <c r="H530" s="1769" t="s">
        <v>1573</v>
      </c>
      <c r="I530" s="1773" t="s">
        <v>194</v>
      </c>
      <c r="J530" s="1754" t="s">
        <v>750</v>
      </c>
      <c r="K530" s="1754"/>
      <c r="L530" s="1772" t="s">
        <v>194</v>
      </c>
      <c r="M530" s="1754" t="s">
        <v>784</v>
      </c>
      <c r="N530" s="1754"/>
      <c r="O530" s="1772" t="s">
        <v>194</v>
      </c>
      <c r="P530" s="1754" t="s">
        <v>785</v>
      </c>
      <c r="Q530" s="1768"/>
      <c r="R530" s="1768"/>
      <c r="S530" s="1768"/>
      <c r="T530" s="1768"/>
      <c r="U530" s="1768"/>
      <c r="V530" s="1768"/>
      <c r="W530" s="1768"/>
      <c r="X530" s="1767"/>
      <c r="Y530" s="1914"/>
      <c r="Z530" s="1913"/>
      <c r="AA530" s="1913"/>
      <c r="AB530" s="1794"/>
      <c r="AC530" s="1954"/>
      <c r="AD530" s="1954"/>
      <c r="AE530" s="1954"/>
      <c r="AF530" s="1954"/>
      <c r="AI530" s="1735" t="str">
        <f>"2A:field164:" &amp; IF(I530="■",1,IF(L530="■",2,IF(O530="■",3,0)))</f>
        <v>2A:field164:0</v>
      </c>
    </row>
    <row r="531" spans="1:36" s="1735" customFormat="1" ht="18.75" hidden="1" customHeight="1">
      <c r="A531" s="2005"/>
      <c r="B531" s="2004"/>
      <c r="C531" s="1764"/>
      <c r="D531" s="1763"/>
      <c r="E531" s="1762"/>
      <c r="F531" s="1761"/>
      <c r="G531" s="1762"/>
      <c r="H531" s="1925" t="s">
        <v>1670</v>
      </c>
      <c r="I531" s="1924" t="s">
        <v>194</v>
      </c>
      <c r="J531" s="1923" t="s">
        <v>1589</v>
      </c>
      <c r="K531" s="1923"/>
      <c r="L531" s="1829"/>
      <c r="M531" s="1829"/>
      <c r="N531" s="1829"/>
      <c r="O531" s="1829"/>
      <c r="P531" s="1922" t="s">
        <v>194</v>
      </c>
      <c r="Q531" s="1923" t="s">
        <v>1588</v>
      </c>
      <c r="R531" s="1829"/>
      <c r="S531" s="1829"/>
      <c r="T531" s="1829"/>
      <c r="U531" s="1829"/>
      <c r="V531" s="1829"/>
      <c r="W531" s="1829"/>
      <c r="X531" s="1828"/>
      <c r="Y531" s="1914"/>
      <c r="Z531" s="1913"/>
      <c r="AA531" s="1913"/>
      <c r="AB531" s="1794"/>
      <c r="AC531" s="1954"/>
      <c r="AD531" s="1954"/>
      <c r="AE531" s="1954"/>
      <c r="AF531" s="1954"/>
      <c r="AI531" s="1735" t="str">
        <f>"2A:" &amp; IF(AND(I531="□",P531="□",I532="□"),"tokusin_jyusho_code:0:tokusin_yakuzai_code:0:shuudan_comu_code:0",IF(I531="■","tokusin_jyusho_code:2","tokusin_jyusho_code:1")
&amp;IF(P531="■",":tokusin_yakuzai_code:2",":tokusin_yakuzai_code:1")
&amp;IF(I532="■",":shuudan_comu_code:2",":shuudan_comu_code:1"))</f>
        <v>2A:tokusin_jyusho_code:0:tokusin_yakuzai_code:0:shuudan_comu_code:0</v>
      </c>
    </row>
    <row r="532" spans="1:36" s="1735" customFormat="1" ht="18.75" hidden="1" customHeight="1">
      <c r="A532" s="2005"/>
      <c r="B532" s="2004"/>
      <c r="C532" s="1764"/>
      <c r="D532" s="1763"/>
      <c r="E532" s="1762"/>
      <c r="F532" s="1761"/>
      <c r="G532" s="1762"/>
      <c r="H532" s="1921"/>
      <c r="I532" s="1758" t="s">
        <v>194</v>
      </c>
      <c r="J532" s="1756" t="s">
        <v>1585</v>
      </c>
      <c r="K532" s="1827"/>
      <c r="L532" s="1827"/>
      <c r="M532" s="1827"/>
      <c r="N532" s="1827"/>
      <c r="O532" s="1827"/>
      <c r="P532" s="1827"/>
      <c r="Q532" s="1780"/>
      <c r="R532" s="1827"/>
      <c r="S532" s="1827"/>
      <c r="T532" s="1827"/>
      <c r="U532" s="1827"/>
      <c r="V532" s="1827"/>
      <c r="W532" s="1827"/>
      <c r="X532" s="1826"/>
      <c r="Y532" s="1914"/>
      <c r="Z532" s="1913"/>
      <c r="AA532" s="1913"/>
      <c r="AB532" s="1794"/>
      <c r="AC532" s="1954"/>
      <c r="AD532" s="1954"/>
      <c r="AE532" s="1954"/>
      <c r="AF532" s="1954"/>
    </row>
    <row r="533" spans="1:36" s="1735" customFormat="1" ht="18.75" hidden="1" customHeight="1">
      <c r="A533" s="2005"/>
      <c r="B533" s="2004"/>
      <c r="C533" s="1764"/>
      <c r="D533" s="1763"/>
      <c r="E533" s="1762"/>
      <c r="F533" s="1761"/>
      <c r="G533" s="1762"/>
      <c r="H533" s="1925" t="s">
        <v>1584</v>
      </c>
      <c r="I533" s="1924" t="s">
        <v>194</v>
      </c>
      <c r="J533" s="1923" t="s">
        <v>1583</v>
      </c>
      <c r="K533" s="1938"/>
      <c r="L533" s="1937"/>
      <c r="M533" s="1922" t="s">
        <v>194</v>
      </c>
      <c r="N533" s="1923" t="s">
        <v>1582</v>
      </c>
      <c r="O533" s="1829"/>
      <c r="P533" s="1829"/>
      <c r="Q533" s="1922" t="s">
        <v>194</v>
      </c>
      <c r="R533" s="1923" t="s">
        <v>1581</v>
      </c>
      <c r="S533" s="1829"/>
      <c r="T533" s="1829"/>
      <c r="U533" s="1829"/>
      <c r="V533" s="1829"/>
      <c r="W533" s="1829"/>
      <c r="X533" s="1828"/>
      <c r="Y533" s="1914"/>
      <c r="Z533" s="1913"/>
      <c r="AA533" s="1913"/>
      <c r="AB533" s="1794"/>
      <c r="AC533" s="1954"/>
      <c r="AD533" s="1954"/>
      <c r="AE533" s="1954"/>
      <c r="AF533" s="1954"/>
      <c r="AI533" s="1735" t="str">
        <f>"2A:"&amp;IF(AND(I533="□",M533="□",Q533="□",I534="□",Q534="□"),"koriha_rryoho1_code:0:koriha_sryoho_code:0:koriha_gengo_code:0:riha_seisin_code:0:koriha_other_code:0",IF(I533="■","koriha_rryoho1_code:2","koriha_rryoho1_code:1")
&amp;IF(M533="■",":koriha_sryoho_code:2",":koriha_sryoho_code:1")
&amp;IF(Q533="■",":koriha_gengo_code:2",":koriha_gengo_code:1")
&amp;IF(I534="■",":riha_seisin_code:2",":riha_seisin_code:1")
&amp;IF(Q534="■",":koriha_other_code:2",":koriha_other_code:1"))</f>
        <v>2A:koriha_rryoho1_code:0:koriha_sryoho_code:0:koriha_gengo_code:0:riha_seisin_code:0:koriha_other_code:0</v>
      </c>
    </row>
    <row r="534" spans="1:36" s="1735" customFormat="1" ht="18.75" hidden="1" customHeight="1">
      <c r="A534" s="2005"/>
      <c r="B534" s="2004"/>
      <c r="C534" s="1764"/>
      <c r="D534" s="1763"/>
      <c r="E534" s="1762"/>
      <c r="F534" s="1761"/>
      <c r="G534" s="1762"/>
      <c r="H534" s="1921"/>
      <c r="I534" s="1758" t="s">
        <v>194</v>
      </c>
      <c r="J534" s="1756" t="s">
        <v>1580</v>
      </c>
      <c r="K534" s="1827"/>
      <c r="L534" s="1827"/>
      <c r="M534" s="1827"/>
      <c r="N534" s="1827"/>
      <c r="O534" s="1827"/>
      <c r="P534" s="1827"/>
      <c r="Q534" s="1757" t="s">
        <v>194</v>
      </c>
      <c r="R534" s="1756" t="s">
        <v>1579</v>
      </c>
      <c r="S534" s="1780"/>
      <c r="T534" s="1827"/>
      <c r="U534" s="1827"/>
      <c r="V534" s="1827"/>
      <c r="W534" s="1827"/>
      <c r="X534" s="1826"/>
      <c r="Y534" s="1914"/>
      <c r="Z534" s="1913"/>
      <c r="AA534" s="1913"/>
      <c r="AB534" s="1794"/>
      <c r="AC534" s="1954"/>
      <c r="AD534" s="1954"/>
      <c r="AE534" s="1954"/>
      <c r="AF534" s="1954"/>
    </row>
    <row r="535" spans="1:36" s="1735" customFormat="1" ht="18.75" hidden="1" customHeight="1">
      <c r="A535" s="2005"/>
      <c r="B535" s="2004"/>
      <c r="C535" s="1764"/>
      <c r="D535" s="1763"/>
      <c r="E535" s="1762"/>
      <c r="F535" s="1761"/>
      <c r="G535" s="1762"/>
      <c r="H535" s="1917" t="s">
        <v>794</v>
      </c>
      <c r="I535" s="1773" t="s">
        <v>194</v>
      </c>
      <c r="J535" s="1754" t="s">
        <v>750</v>
      </c>
      <c r="K535" s="1754"/>
      <c r="L535" s="1772" t="s">
        <v>194</v>
      </c>
      <c r="M535" s="1754" t="s">
        <v>784</v>
      </c>
      <c r="N535" s="1754"/>
      <c r="O535" s="1772" t="s">
        <v>194</v>
      </c>
      <c r="P535" s="1754" t="s">
        <v>785</v>
      </c>
      <c r="Q535" s="1768"/>
      <c r="R535" s="1768"/>
      <c r="S535" s="1768"/>
      <c r="T535" s="1768"/>
      <c r="U535" s="1829"/>
      <c r="V535" s="1829"/>
      <c r="W535" s="1829"/>
      <c r="X535" s="1828"/>
      <c r="Y535" s="1914"/>
      <c r="Z535" s="1913"/>
      <c r="AA535" s="1913"/>
      <c r="AB535" s="1794"/>
      <c r="AC535" s="1954"/>
      <c r="AD535" s="1954"/>
      <c r="AE535" s="1954"/>
      <c r="AF535" s="1954"/>
      <c r="AI535" s="1735" t="str">
        <f>"2A:field225:" &amp; IF(I535="■",1,IF(L535="■",2,IF(O535="■",3,0)))</f>
        <v>2A:field225:0</v>
      </c>
    </row>
    <row r="536" spans="1:36" s="1735" customFormat="1" ht="18.75" hidden="1" customHeight="1">
      <c r="A536" s="2005"/>
      <c r="B536" s="2004"/>
      <c r="C536" s="1764"/>
      <c r="D536" s="1763"/>
      <c r="E536" s="1762"/>
      <c r="F536" s="1761"/>
      <c r="G536" s="1762"/>
      <c r="H536" s="1759" t="s">
        <v>795</v>
      </c>
      <c r="I536" s="1773" t="s">
        <v>194</v>
      </c>
      <c r="J536" s="1754" t="s">
        <v>750</v>
      </c>
      <c r="K536" s="1754"/>
      <c r="L536" s="1772" t="s">
        <v>194</v>
      </c>
      <c r="M536" s="1754" t="s">
        <v>796</v>
      </c>
      <c r="N536" s="1754"/>
      <c r="O536" s="1772" t="s">
        <v>194</v>
      </c>
      <c r="P536" s="1754" t="s">
        <v>797</v>
      </c>
      <c r="Q536" s="1771"/>
      <c r="R536" s="1772" t="s">
        <v>194</v>
      </c>
      <c r="S536" s="1754" t="s">
        <v>798</v>
      </c>
      <c r="T536" s="1771"/>
      <c r="U536" s="1771"/>
      <c r="V536" s="1771"/>
      <c r="W536" s="1771"/>
      <c r="X536" s="1770"/>
      <c r="Y536" s="1914"/>
      <c r="Z536" s="1913"/>
      <c r="AA536" s="1913"/>
      <c r="AB536" s="1794"/>
      <c r="AC536" s="1954"/>
      <c r="AD536" s="1954"/>
      <c r="AE536" s="1954"/>
      <c r="AF536" s="1954"/>
      <c r="AI536" s="1735" t="str">
        <f>"2A:serteikyo_kyoka_code:" &amp; IF(I536="■",1,IF(L536="■",6,IF(O536="■",5,IF(R536="■",7,0))))</f>
        <v>2A:serteikyo_kyoka_code:0</v>
      </c>
    </row>
    <row r="537" spans="1:36" s="1735" customFormat="1" ht="18.75" hidden="1" customHeight="1">
      <c r="A537" s="2005"/>
      <c r="B537" s="2004"/>
      <c r="C537" s="1764"/>
      <c r="D537" s="1763"/>
      <c r="E537" s="1762"/>
      <c r="F537" s="1761"/>
      <c r="G537" s="1762"/>
      <c r="H537" s="1788" t="s">
        <v>1665</v>
      </c>
      <c r="I537" s="1969" t="s">
        <v>194</v>
      </c>
      <c r="J537" s="1968" t="s">
        <v>750</v>
      </c>
      <c r="K537" s="1968"/>
      <c r="L537" s="1967" t="s">
        <v>194</v>
      </c>
      <c r="M537" s="1968" t="s">
        <v>764</v>
      </c>
      <c r="N537" s="1968"/>
      <c r="O537" s="1923"/>
      <c r="P537" s="1923"/>
      <c r="Q537" s="1923"/>
      <c r="R537" s="1923"/>
      <c r="S537" s="1923"/>
      <c r="T537" s="1923"/>
      <c r="U537" s="1923"/>
      <c r="V537" s="1923"/>
      <c r="W537" s="1923"/>
      <c r="X537" s="1956"/>
      <c r="Y537" s="1914"/>
      <c r="Z537" s="1913"/>
      <c r="AA537" s="1913"/>
      <c r="AB537" s="1794"/>
      <c r="AC537" s="1954"/>
      <c r="AD537" s="1954"/>
      <c r="AE537" s="1954"/>
      <c r="AF537" s="1954"/>
      <c r="AI537" s="1735" t="str">
        <f>"2A:field221:" &amp; IF(I537="■",1,IF(L537="■",2,0))</f>
        <v>2A:field221:0</v>
      </c>
    </row>
    <row r="538" spans="1:36" s="1735" customFormat="1" ht="18.75" hidden="1" customHeight="1">
      <c r="A538" s="2005"/>
      <c r="B538" s="2004"/>
      <c r="C538" s="1764"/>
      <c r="D538" s="1763"/>
      <c r="E538" s="1762"/>
      <c r="F538" s="1761"/>
      <c r="G538" s="1762"/>
      <c r="H538" s="1783"/>
      <c r="I538" s="1969"/>
      <c r="J538" s="1968"/>
      <c r="K538" s="1968"/>
      <c r="L538" s="1967"/>
      <c r="M538" s="1968"/>
      <c r="N538" s="1968"/>
      <c r="O538" s="1756"/>
      <c r="P538" s="1756"/>
      <c r="Q538" s="1756"/>
      <c r="R538" s="1756"/>
      <c r="S538" s="1756"/>
      <c r="T538" s="1756"/>
      <c r="U538" s="1756"/>
      <c r="V538" s="1756"/>
      <c r="W538" s="1756"/>
      <c r="X538" s="1814"/>
      <c r="Y538" s="1914"/>
      <c r="Z538" s="1913"/>
      <c r="AA538" s="1913"/>
      <c r="AB538" s="1794"/>
      <c r="AC538" s="1954"/>
      <c r="AD538" s="1954"/>
      <c r="AE538" s="1954"/>
      <c r="AF538" s="1954"/>
    </row>
    <row r="539" spans="1:36" s="1735" customFormat="1" ht="18.75" hidden="1" customHeight="1">
      <c r="A539" s="1766"/>
      <c r="B539" s="1765"/>
      <c r="C539" s="1764"/>
      <c r="D539" s="1763"/>
      <c r="E539" s="1762"/>
      <c r="F539" s="1761"/>
      <c r="G539" s="1793"/>
      <c r="H539" s="1952" t="s">
        <v>1553</v>
      </c>
      <c r="I539" s="1924" t="s">
        <v>194</v>
      </c>
      <c r="J539" s="1948" t="s">
        <v>750</v>
      </c>
      <c r="K539" s="1948"/>
      <c r="L539" s="1922" t="s">
        <v>194</v>
      </c>
      <c r="M539" s="1948" t="s">
        <v>1552</v>
      </c>
      <c r="N539" s="1951"/>
      <c r="O539" s="1922" t="s">
        <v>194</v>
      </c>
      <c r="P539" s="1950" t="s">
        <v>1551</v>
      </c>
      <c r="Q539" s="1949"/>
      <c r="R539" s="1922" t="s">
        <v>194</v>
      </c>
      <c r="S539" s="1948" t="s">
        <v>1550</v>
      </c>
      <c r="T539" s="1949"/>
      <c r="U539" s="1922" t="s">
        <v>194</v>
      </c>
      <c r="V539" s="1948" t="s">
        <v>1549</v>
      </c>
      <c r="W539" s="1947"/>
      <c r="X539" s="1946"/>
      <c r="Y539" s="1913"/>
      <c r="Z539" s="1913"/>
      <c r="AA539" s="1913"/>
      <c r="AB539" s="1794"/>
      <c r="AC539" s="1954"/>
      <c r="AD539" s="1954"/>
      <c r="AE539" s="1954"/>
      <c r="AF539" s="1954"/>
      <c r="AI539" s="1735" t="str">
        <f>"2A:shoguukaizen_code:"&amp;IF(I539="■",1,IF(L539="■",7,IF(O539="■",8,IF(R539="■",9,IF(U539="■","A",0)))))</f>
        <v>2A:shoguukaizen_code:0</v>
      </c>
    </row>
    <row r="540" spans="1:36" s="1735" customFormat="1" ht="18.75" hidden="1" customHeight="1">
      <c r="A540" s="2009"/>
      <c r="B540" s="2008"/>
      <c r="C540" s="1849"/>
      <c r="D540" s="1848"/>
      <c r="E540" s="1804"/>
      <c r="F540" s="1803"/>
      <c r="G540" s="1804"/>
      <c r="H540" s="1885" t="s">
        <v>746</v>
      </c>
      <c r="I540" s="1873" t="s">
        <v>194</v>
      </c>
      <c r="J540" s="1872" t="s">
        <v>747</v>
      </c>
      <c r="K540" s="1932"/>
      <c r="L540" s="2007"/>
      <c r="M540" s="1931" t="s">
        <v>194</v>
      </c>
      <c r="N540" s="1872" t="s">
        <v>1572</v>
      </c>
      <c r="O540" s="1930"/>
      <c r="P540" s="1930"/>
      <c r="Q540" s="1931" t="s">
        <v>194</v>
      </c>
      <c r="R540" s="1872" t="s">
        <v>1571</v>
      </c>
      <c r="S540" s="1930"/>
      <c r="T540" s="1930"/>
      <c r="U540" s="1931" t="s">
        <v>194</v>
      </c>
      <c r="V540" s="1872" t="s">
        <v>1570</v>
      </c>
      <c r="W540" s="1930"/>
      <c r="X540" s="1886"/>
      <c r="Y540" s="1931" t="s">
        <v>194</v>
      </c>
      <c r="Z540" s="1872" t="s">
        <v>749</v>
      </c>
      <c r="AA540" s="1872"/>
      <c r="AB540" s="1929"/>
      <c r="AC540" s="1959"/>
      <c r="AD540" s="1959"/>
      <c r="AE540" s="1959"/>
      <c r="AF540" s="1959"/>
      <c r="AG540" s="1735" t="str">
        <f>"ser_code = '" &amp; IF(A550="■","2A","") &amp; "'"</f>
        <v>ser_code = ''</v>
      </c>
      <c r="AH540" s="1735" t="str">
        <f>"2A:jininkbn_code:"&amp;IF(F550="■",1,IF(F551="■",2,0))</f>
        <v>2A:jininkbn_code:0</v>
      </c>
      <c r="AI540" s="1735" t="str">
        <f>"2A:yakan_kinmu_code:" &amp; IF(I540="■",1,IF(M540="■",2,IF(Q540="■",3,IF(U540="■",7,IF(I541="■",5,IF(M541="■",6,0))))))</f>
        <v>2A:yakan_kinmu_code:0</v>
      </c>
      <c r="AJ540" s="1735" t="str">
        <f>"2A:field203:" &amp; IF(Y540="■",1,IF(Y541="■",2,0))</f>
        <v>2A:field203:0</v>
      </c>
    </row>
    <row r="541" spans="1:36" s="1735" customFormat="1" ht="18.75" hidden="1" customHeight="1">
      <c r="A541" s="2005"/>
      <c r="B541" s="2004"/>
      <c r="C541" s="1764"/>
      <c r="D541" s="1763"/>
      <c r="E541" s="1762"/>
      <c r="F541" s="1761"/>
      <c r="G541" s="1762"/>
      <c r="H541" s="1921"/>
      <c r="I541" s="1758" t="s">
        <v>194</v>
      </c>
      <c r="J541" s="1756" t="s">
        <v>1569</v>
      </c>
      <c r="K541" s="1755"/>
      <c r="L541" s="2006"/>
      <c r="M541" s="1757" t="s">
        <v>194</v>
      </c>
      <c r="N541" s="1756" t="s">
        <v>748</v>
      </c>
      <c r="O541" s="1780"/>
      <c r="P541" s="1780"/>
      <c r="Q541" s="1780"/>
      <c r="R541" s="1780"/>
      <c r="S541" s="1780"/>
      <c r="T541" s="1780"/>
      <c r="U541" s="1780"/>
      <c r="V541" s="1780"/>
      <c r="W541" s="1780"/>
      <c r="X541" s="1779"/>
      <c r="Y541" s="1878" t="s">
        <v>194</v>
      </c>
      <c r="Z541" s="1738" t="s">
        <v>754</v>
      </c>
      <c r="AA541" s="1913"/>
      <c r="AB541" s="1794"/>
      <c r="AC541" s="1970"/>
      <c r="AD541" s="1970"/>
      <c r="AE541" s="1970"/>
      <c r="AF541" s="1970"/>
      <c r="AG541" s="1735" t="str">
        <f>"2A:sisetukbn_code:"&amp;IF(D550="■","6",0)</f>
        <v>2A:sisetukbn_code:0</v>
      </c>
    </row>
    <row r="542" spans="1:36" s="1735" customFormat="1" ht="18.75" hidden="1" customHeight="1">
      <c r="A542" s="2005"/>
      <c r="B542" s="2004"/>
      <c r="C542" s="1764"/>
      <c r="D542" s="1763"/>
      <c r="E542" s="1762"/>
      <c r="F542" s="1761"/>
      <c r="G542" s="1762"/>
      <c r="H542" s="1925" t="s">
        <v>98</v>
      </c>
      <c r="I542" s="1924" t="s">
        <v>194</v>
      </c>
      <c r="J542" s="1923" t="s">
        <v>750</v>
      </c>
      <c r="K542" s="1923"/>
      <c r="L542" s="1937"/>
      <c r="M542" s="1922" t="s">
        <v>194</v>
      </c>
      <c r="N542" s="1923" t="s">
        <v>1568</v>
      </c>
      <c r="O542" s="1923"/>
      <c r="P542" s="1937"/>
      <c r="Q542" s="1922" t="s">
        <v>194</v>
      </c>
      <c r="R542" s="1785" t="s">
        <v>1567</v>
      </c>
      <c r="S542" s="1785"/>
      <c r="T542" s="1785"/>
      <c r="U542" s="1829"/>
      <c r="V542" s="1937"/>
      <c r="W542" s="1785"/>
      <c r="X542" s="1828"/>
      <c r="Y542" s="1914"/>
      <c r="Z542" s="1913"/>
      <c r="AA542" s="1913"/>
      <c r="AB542" s="1794"/>
      <c r="AC542" s="1954"/>
      <c r="AD542" s="1954"/>
      <c r="AE542" s="1954"/>
      <c r="AF542" s="1954"/>
      <c r="AI542" s="1735" t="str">
        <f>"2A:"&amp;IF(AND(I542="□",M542="□",Q542="□",I543="□",M543="□"),"ketu_doctor_code:0",IF(I542="■","ketu_doctor_code:1:field197:1:ketu_kangos_code:1:ketu_kshoku_code:1",IF(M542="■","ketu_doctor_code:2","ketu_doctor_code:1")
&amp;IF(Q542="■",":field197:2",":field197:1")
&amp;IF(I543="■",":ketu_kangos_code:2",":ketu_kangos_code:1")
&amp;IF(M543="■",":ketu_kshoku_code:2",":ketu_kshoku_code:1")))</f>
        <v>2A:ketu_doctor_code:0</v>
      </c>
    </row>
    <row r="543" spans="1:36" s="1735" customFormat="1" ht="18.75" hidden="1" customHeight="1">
      <c r="A543" s="2005"/>
      <c r="B543" s="2004"/>
      <c r="C543" s="1764"/>
      <c r="D543" s="1763"/>
      <c r="E543" s="1762"/>
      <c r="F543" s="1761"/>
      <c r="G543" s="1762"/>
      <c r="H543" s="1921"/>
      <c r="I543" s="1758" t="s">
        <v>194</v>
      </c>
      <c r="J543" s="1780" t="s">
        <v>1566</v>
      </c>
      <c r="K543" s="1780"/>
      <c r="L543" s="1780"/>
      <c r="M543" s="1757" t="s">
        <v>194</v>
      </c>
      <c r="N543" s="1780" t="s">
        <v>1565</v>
      </c>
      <c r="O543" s="2006"/>
      <c r="P543" s="1780"/>
      <c r="Q543" s="1780"/>
      <c r="R543" s="2006"/>
      <c r="S543" s="1780"/>
      <c r="T543" s="1780"/>
      <c r="U543" s="1827"/>
      <c r="V543" s="2006"/>
      <c r="W543" s="1780"/>
      <c r="X543" s="1826"/>
      <c r="Y543" s="1914"/>
      <c r="Z543" s="1913"/>
      <c r="AA543" s="1913"/>
      <c r="AB543" s="1794"/>
      <c r="AC543" s="1954"/>
      <c r="AD543" s="1954"/>
      <c r="AE543" s="1954"/>
      <c r="AF543" s="1954"/>
    </row>
    <row r="544" spans="1:36" s="1735" customFormat="1" ht="18.75" hidden="1" customHeight="1">
      <c r="A544" s="2005"/>
      <c r="B544" s="2004"/>
      <c r="C544" s="1764"/>
      <c r="D544" s="1763"/>
      <c r="E544" s="1762"/>
      <c r="F544" s="1761"/>
      <c r="G544" s="1762"/>
      <c r="H544" s="1769" t="s">
        <v>99</v>
      </c>
      <c r="I544" s="1773" t="s">
        <v>194</v>
      </c>
      <c r="J544" s="1754" t="s">
        <v>755</v>
      </c>
      <c r="K544" s="1789"/>
      <c r="L544" s="1791"/>
      <c r="M544" s="1772" t="s">
        <v>194</v>
      </c>
      <c r="N544" s="1754" t="s">
        <v>756</v>
      </c>
      <c r="O544" s="1768"/>
      <c r="P544" s="1768"/>
      <c r="Q544" s="1768"/>
      <c r="R544" s="1768"/>
      <c r="S544" s="1768"/>
      <c r="T544" s="1768"/>
      <c r="U544" s="1768"/>
      <c r="V544" s="1768"/>
      <c r="W544" s="1768"/>
      <c r="X544" s="1767"/>
      <c r="Y544" s="1914"/>
      <c r="Z544" s="1913"/>
      <c r="AA544" s="1913"/>
      <c r="AB544" s="1794"/>
      <c r="AC544" s="1954"/>
      <c r="AD544" s="1954"/>
      <c r="AE544" s="1954"/>
      <c r="AF544" s="1954"/>
      <c r="AI544" s="1735" t="str">
        <f>"2A:unitcare_code:" &amp; IF(I544="■",1,IF(M544="■",2,0))</f>
        <v>2A:unitcare_code:0</v>
      </c>
    </row>
    <row r="545" spans="1:35" s="1735" customFormat="1" ht="18.75" hidden="1" customHeight="1">
      <c r="A545" s="1766"/>
      <c r="B545" s="1765"/>
      <c r="C545" s="1916"/>
      <c r="D545" s="1915"/>
      <c r="E545" s="1762"/>
      <c r="F545" s="1761"/>
      <c r="G545" s="1793"/>
      <c r="H545" s="2002" t="s">
        <v>757</v>
      </c>
      <c r="I545" s="1842" t="s">
        <v>194</v>
      </c>
      <c r="J545" s="1837" t="s">
        <v>758</v>
      </c>
      <c r="K545" s="1841"/>
      <c r="L545" s="1840"/>
      <c r="M545" s="1839" t="s">
        <v>194</v>
      </c>
      <c r="N545" s="1837" t="s">
        <v>759</v>
      </c>
      <c r="O545" s="1841"/>
      <c r="P545" s="2001"/>
      <c r="Q545" s="2001"/>
      <c r="R545" s="2001"/>
      <c r="S545" s="2001"/>
      <c r="T545" s="2001"/>
      <c r="U545" s="2001"/>
      <c r="V545" s="2001"/>
      <c r="W545" s="2001"/>
      <c r="X545" s="2000"/>
      <c r="Y545" s="1914"/>
      <c r="Z545" s="1913"/>
      <c r="AA545" s="1913"/>
      <c r="AB545" s="1794"/>
      <c r="AC545" s="1954"/>
      <c r="AD545" s="1954"/>
      <c r="AE545" s="1954"/>
      <c r="AF545" s="1954"/>
      <c r="AI545" s="1735" t="str">
        <f>"2A:sintaikousoku_code:" &amp; IF(I545="■",1,IF(M545="■",2,0))</f>
        <v>2A:sintaikousoku_code:0</v>
      </c>
    </row>
    <row r="546" spans="1:35" s="1735" customFormat="1" ht="19.5" hidden="1" customHeight="1">
      <c r="A546" s="1766"/>
      <c r="B546" s="1765"/>
      <c r="C546" s="1764"/>
      <c r="D546" s="1763"/>
      <c r="E546" s="1762"/>
      <c r="F546" s="1761"/>
      <c r="G546" s="1793"/>
      <c r="H546" s="1792" t="s">
        <v>760</v>
      </c>
      <c r="I546" s="1773" t="s">
        <v>194</v>
      </c>
      <c r="J546" s="1754" t="s">
        <v>758</v>
      </c>
      <c r="K546" s="1789"/>
      <c r="L546" s="1791"/>
      <c r="M546" s="1772" t="s">
        <v>194</v>
      </c>
      <c r="N546" s="1754" t="s">
        <v>761</v>
      </c>
      <c r="O546" s="1920"/>
      <c r="P546" s="1754"/>
      <c r="Q546" s="1768"/>
      <c r="R546" s="1768"/>
      <c r="S546" s="1768"/>
      <c r="T546" s="1768"/>
      <c r="U546" s="1768"/>
      <c r="V546" s="1768"/>
      <c r="W546" s="1768"/>
      <c r="X546" s="1767"/>
      <c r="Y546" s="1913"/>
      <c r="Z546" s="1913"/>
      <c r="AA546" s="1913"/>
      <c r="AB546" s="1794"/>
      <c r="AC546" s="1954"/>
      <c r="AD546" s="1954"/>
      <c r="AE546" s="1954"/>
      <c r="AF546" s="1954"/>
      <c r="AI546" s="1735" t="str">
        <f>"2A:field223:" &amp; IF(I546="■",1,IF(M546="■",2,0))</f>
        <v>2A:field223:0</v>
      </c>
    </row>
    <row r="547" spans="1:35" s="1735" customFormat="1" ht="19.5" hidden="1" customHeight="1">
      <c r="A547" s="1766"/>
      <c r="B547" s="1765"/>
      <c r="C547" s="1764"/>
      <c r="D547" s="1763"/>
      <c r="E547" s="1762"/>
      <c r="F547" s="1761"/>
      <c r="G547" s="1793"/>
      <c r="H547" s="1792" t="s">
        <v>762</v>
      </c>
      <c r="I547" s="1773" t="s">
        <v>194</v>
      </c>
      <c r="J547" s="1754" t="s">
        <v>758</v>
      </c>
      <c r="K547" s="1789"/>
      <c r="L547" s="1791"/>
      <c r="M547" s="1772" t="s">
        <v>194</v>
      </c>
      <c r="N547" s="1754" t="s">
        <v>761</v>
      </c>
      <c r="O547" s="1920"/>
      <c r="P547" s="1754"/>
      <c r="Q547" s="1768"/>
      <c r="R547" s="1768"/>
      <c r="S547" s="1768"/>
      <c r="T547" s="1768"/>
      <c r="U547" s="1768"/>
      <c r="V547" s="1768"/>
      <c r="W547" s="1768"/>
      <c r="X547" s="1767"/>
      <c r="Y547" s="1913"/>
      <c r="Z547" s="1913"/>
      <c r="AA547" s="1913"/>
      <c r="AB547" s="1794"/>
      <c r="AC547" s="1954"/>
      <c r="AD547" s="1954"/>
      <c r="AE547" s="1954"/>
      <c r="AF547" s="1954"/>
      <c r="AI547" s="1735" t="str">
        <f>"2A:field232:" &amp; IF(I547="■",1,IF(M547="■",2,0))</f>
        <v>2A:field232:0</v>
      </c>
    </row>
    <row r="548" spans="1:35" s="1735" customFormat="1" ht="18.75" hidden="1" customHeight="1">
      <c r="A548" s="2005"/>
      <c r="B548" s="2004"/>
      <c r="C548" s="1764"/>
      <c r="D548" s="1763"/>
      <c r="E548" s="1762"/>
      <c r="F548" s="1761"/>
      <c r="G548" s="1762"/>
      <c r="H548" s="1769" t="s">
        <v>1560</v>
      </c>
      <c r="I548" s="1773" t="s">
        <v>194</v>
      </c>
      <c r="J548" s="1754" t="s">
        <v>747</v>
      </c>
      <c r="K548" s="1789"/>
      <c r="L548" s="1791"/>
      <c r="M548" s="1772" t="s">
        <v>194</v>
      </c>
      <c r="N548" s="1754" t="s">
        <v>1556</v>
      </c>
      <c r="O548" s="1768"/>
      <c r="P548" s="1768"/>
      <c r="Q548" s="1768"/>
      <c r="R548" s="1768"/>
      <c r="S548" s="1768"/>
      <c r="T548" s="1768"/>
      <c r="U548" s="1768"/>
      <c r="V548" s="1768"/>
      <c r="W548" s="1768"/>
      <c r="X548" s="1767"/>
      <c r="Y548" s="1914"/>
      <c r="Z548" s="1913"/>
      <c r="AA548" s="1913"/>
      <c r="AB548" s="1794"/>
      <c r="AC548" s="1954"/>
      <c r="AD548" s="1954"/>
      <c r="AE548" s="1954"/>
      <c r="AF548" s="1954"/>
      <c r="AI548" s="1735" t="str">
        <f>"2A:field190:" &amp; IF(I548="■",1,IF(M548="■",2,0))</f>
        <v>2A:field190:0</v>
      </c>
    </row>
    <row r="549" spans="1:35" s="1735" customFormat="1" ht="18.75" hidden="1" customHeight="1">
      <c r="A549" s="2005"/>
      <c r="B549" s="2004"/>
      <c r="C549" s="1764"/>
      <c r="D549" s="1763"/>
      <c r="E549" s="1762"/>
      <c r="F549" s="1761"/>
      <c r="G549" s="1762"/>
      <c r="H549" s="1769" t="s">
        <v>1558</v>
      </c>
      <c r="I549" s="1773" t="s">
        <v>194</v>
      </c>
      <c r="J549" s="1754" t="s">
        <v>747</v>
      </c>
      <c r="K549" s="1789"/>
      <c r="L549" s="1791"/>
      <c r="M549" s="1772" t="s">
        <v>194</v>
      </c>
      <c r="N549" s="1754" t="s">
        <v>1556</v>
      </c>
      <c r="O549" s="1768"/>
      <c r="P549" s="1768"/>
      <c r="Q549" s="1768"/>
      <c r="R549" s="1768"/>
      <c r="S549" s="1768"/>
      <c r="T549" s="1768"/>
      <c r="U549" s="1768"/>
      <c r="V549" s="1768"/>
      <c r="W549" s="1768"/>
      <c r="X549" s="1767"/>
      <c r="Y549" s="1914"/>
      <c r="Z549" s="1913"/>
      <c r="AA549" s="1913"/>
      <c r="AB549" s="1794"/>
      <c r="AC549" s="1954"/>
      <c r="AD549" s="1954"/>
      <c r="AE549" s="1954"/>
      <c r="AF549" s="1954"/>
      <c r="AI549" s="1735" t="str">
        <f>"2A:field191:" &amp; IF(I549="■",1,IF(M549="■",2,0))</f>
        <v>2A:field191:0</v>
      </c>
    </row>
    <row r="550" spans="1:35" s="1735" customFormat="1" ht="18.75" hidden="1" customHeight="1">
      <c r="A550" s="1776" t="s">
        <v>194</v>
      </c>
      <c r="B550" s="2004" t="s">
        <v>1669</v>
      </c>
      <c r="C550" s="1764" t="s">
        <v>1668</v>
      </c>
      <c r="D550" s="1878" t="s">
        <v>194</v>
      </c>
      <c r="E550" s="1762" t="s">
        <v>1667</v>
      </c>
      <c r="F550" s="1878" t="s">
        <v>194</v>
      </c>
      <c r="G550" s="1762" t="s">
        <v>1561</v>
      </c>
      <c r="H550" s="1769" t="s">
        <v>1498</v>
      </c>
      <c r="I550" s="1773" t="s">
        <v>194</v>
      </c>
      <c r="J550" s="1754" t="s">
        <v>750</v>
      </c>
      <c r="K550" s="1789"/>
      <c r="L550" s="1772" t="s">
        <v>194</v>
      </c>
      <c r="M550" s="1754" t="s">
        <v>764</v>
      </c>
      <c r="N550" s="1768"/>
      <c r="O550" s="1768"/>
      <c r="P550" s="1768"/>
      <c r="Q550" s="1768"/>
      <c r="R550" s="1768"/>
      <c r="S550" s="1768"/>
      <c r="T550" s="1768"/>
      <c r="U550" s="1768"/>
      <c r="V550" s="1768"/>
      <c r="W550" s="1768"/>
      <c r="X550" s="1767"/>
      <c r="Y550" s="1914"/>
      <c r="Z550" s="1913"/>
      <c r="AA550" s="1913"/>
      <c r="AB550" s="1794"/>
      <c r="AC550" s="1954"/>
      <c r="AD550" s="1954"/>
      <c r="AE550" s="1954"/>
      <c r="AF550" s="1954"/>
      <c r="AI550" s="1735" t="str">
        <f>"2A:jyakuninti_uke_code:" &amp; IF(I550="■",1,IF(L550="■",2,0))</f>
        <v>2A:jyakuninti_uke_code:0</v>
      </c>
    </row>
    <row r="551" spans="1:35" s="1735" customFormat="1" ht="18.75" hidden="1" customHeight="1">
      <c r="A551" s="2005"/>
      <c r="B551" s="2004"/>
      <c r="C551" s="1764"/>
      <c r="D551" s="1763"/>
      <c r="E551" s="1762"/>
      <c r="F551" s="1878" t="s">
        <v>194</v>
      </c>
      <c r="G551" s="1762" t="s">
        <v>1559</v>
      </c>
      <c r="H551" s="1769" t="s">
        <v>1666</v>
      </c>
      <c r="I551" s="1773" t="s">
        <v>194</v>
      </c>
      <c r="J551" s="1754" t="s">
        <v>755</v>
      </c>
      <c r="K551" s="1789"/>
      <c r="L551" s="1791"/>
      <c r="M551" s="1772" t="s">
        <v>194</v>
      </c>
      <c r="N551" s="1754" t="s">
        <v>756</v>
      </c>
      <c r="O551" s="1768"/>
      <c r="P551" s="1768"/>
      <c r="Q551" s="1768"/>
      <c r="R551" s="1768"/>
      <c r="S551" s="1768"/>
      <c r="T551" s="1768"/>
      <c r="U551" s="1768"/>
      <c r="V551" s="1768"/>
      <c r="W551" s="1768"/>
      <c r="X551" s="1767"/>
      <c r="Y551" s="1914"/>
      <c r="Z551" s="1913"/>
      <c r="AA551" s="1913"/>
      <c r="AB551" s="1794"/>
      <c r="AC551" s="1954"/>
      <c r="AD551" s="1954"/>
      <c r="AE551" s="1954"/>
      <c r="AF551" s="1954"/>
      <c r="AI551" s="1735" t="str">
        <f>"2A:sougei_code:" &amp; IF(I551="■",1,IF(M551="■",2,0))</f>
        <v>2A:sougei_code:0</v>
      </c>
    </row>
    <row r="552" spans="1:35" s="1735" customFormat="1" ht="19.5" hidden="1" customHeight="1">
      <c r="A552" s="2005"/>
      <c r="B552" s="2004"/>
      <c r="C552" s="1764"/>
      <c r="D552" s="1763"/>
      <c r="E552" s="1762"/>
      <c r="F552" s="1763"/>
      <c r="G552" s="1762"/>
      <c r="H552" s="1792" t="s">
        <v>1516</v>
      </c>
      <c r="I552" s="1773" t="s">
        <v>194</v>
      </c>
      <c r="J552" s="1754" t="s">
        <v>750</v>
      </c>
      <c r="K552" s="1754"/>
      <c r="L552" s="1772" t="s">
        <v>194</v>
      </c>
      <c r="M552" s="1754" t="s">
        <v>764</v>
      </c>
      <c r="N552" s="1754"/>
      <c r="O552" s="1768"/>
      <c r="P552" s="1754"/>
      <c r="Q552" s="1768"/>
      <c r="R552" s="1768"/>
      <c r="S552" s="1768"/>
      <c r="T552" s="1768"/>
      <c r="U552" s="1768"/>
      <c r="V552" s="1768"/>
      <c r="W552" s="1768"/>
      <c r="X552" s="1767"/>
      <c r="Y552" s="1913"/>
      <c r="Z552" s="1913"/>
      <c r="AA552" s="1913"/>
      <c r="AB552" s="1794"/>
      <c r="AC552" s="1954"/>
      <c r="AD552" s="1954"/>
      <c r="AE552" s="1954"/>
      <c r="AF552" s="1954"/>
      <c r="AI552" s="1735" t="str">
        <f>"2A:field224:" &amp; IF(I552="■",1,IF(L552="■",2,0))</f>
        <v>2A:field224:0</v>
      </c>
    </row>
    <row r="553" spans="1:35" s="1735" customFormat="1" ht="18.75" hidden="1" customHeight="1">
      <c r="A553" s="2005"/>
      <c r="B553" s="2004"/>
      <c r="C553" s="1764"/>
      <c r="D553" s="1763"/>
      <c r="E553" s="1762"/>
      <c r="F553" s="1763"/>
      <c r="G553" s="1762"/>
      <c r="H553" s="1769" t="s">
        <v>787</v>
      </c>
      <c r="I553" s="1773" t="s">
        <v>194</v>
      </c>
      <c r="J553" s="1754" t="s">
        <v>750</v>
      </c>
      <c r="K553" s="1789"/>
      <c r="L553" s="1772" t="s">
        <v>194</v>
      </c>
      <c r="M553" s="1754" t="s">
        <v>764</v>
      </c>
      <c r="N553" s="1768"/>
      <c r="O553" s="1768"/>
      <c r="P553" s="1768"/>
      <c r="Q553" s="1768"/>
      <c r="R553" s="1768"/>
      <c r="S553" s="1768"/>
      <c r="T553" s="1768"/>
      <c r="U553" s="1768"/>
      <c r="V553" s="1768"/>
      <c r="W553" s="1768"/>
      <c r="X553" s="1767"/>
      <c r="Y553" s="1914"/>
      <c r="Z553" s="1913"/>
      <c r="AA553" s="1913"/>
      <c r="AB553" s="1794"/>
      <c r="AC553" s="1954"/>
      <c r="AD553" s="1954"/>
      <c r="AE553" s="1954"/>
      <c r="AF553" s="1954"/>
      <c r="AI553" s="1735" t="str">
        <f>"2A:ryouyoushoku_code:" &amp; IF(I553="■",1,IF(L553="■",2,0))</f>
        <v>2A:ryouyoushoku_code:0</v>
      </c>
    </row>
    <row r="554" spans="1:35" s="1735" customFormat="1" ht="18.75" hidden="1" customHeight="1">
      <c r="A554" s="2005"/>
      <c r="B554" s="2004"/>
      <c r="C554" s="1764"/>
      <c r="D554" s="1763"/>
      <c r="E554" s="1762"/>
      <c r="F554" s="1763"/>
      <c r="G554" s="1762"/>
      <c r="H554" s="1769" t="s">
        <v>791</v>
      </c>
      <c r="I554" s="1773" t="s">
        <v>194</v>
      </c>
      <c r="J554" s="1754" t="s">
        <v>750</v>
      </c>
      <c r="K554" s="1754"/>
      <c r="L554" s="1772" t="s">
        <v>194</v>
      </c>
      <c r="M554" s="1754" t="s">
        <v>784</v>
      </c>
      <c r="N554" s="1754"/>
      <c r="O554" s="1772" t="s">
        <v>194</v>
      </c>
      <c r="P554" s="1754" t="s">
        <v>785</v>
      </c>
      <c r="Q554" s="1768"/>
      <c r="R554" s="1768"/>
      <c r="S554" s="1768"/>
      <c r="T554" s="1768"/>
      <c r="U554" s="1768"/>
      <c r="V554" s="1768"/>
      <c r="W554" s="1768"/>
      <c r="X554" s="1767"/>
      <c r="Y554" s="1914"/>
      <c r="Z554" s="1913"/>
      <c r="AA554" s="1913"/>
      <c r="AB554" s="1794"/>
      <c r="AC554" s="1954"/>
      <c r="AD554" s="1954"/>
      <c r="AE554" s="1954"/>
      <c r="AF554" s="1954"/>
      <c r="AI554" s="1735" t="str">
        <f>"2A:ninti_senmoncare_code:" &amp; IF(I554="■",1,IF(O554="■",3,IF(L554="■",2,0)))</f>
        <v>2A:ninti_senmoncare_code:0</v>
      </c>
    </row>
    <row r="555" spans="1:35" s="1735" customFormat="1" ht="18.75" hidden="1" customHeight="1">
      <c r="A555" s="2005"/>
      <c r="B555" s="2004"/>
      <c r="C555" s="1764"/>
      <c r="D555" s="1763"/>
      <c r="E555" s="1762"/>
      <c r="F555" s="1761"/>
      <c r="G555" s="1762"/>
      <c r="H555" s="1769" t="s">
        <v>1554</v>
      </c>
      <c r="I555" s="1773" t="s">
        <v>194</v>
      </c>
      <c r="J555" s="1754" t="s">
        <v>750</v>
      </c>
      <c r="K555" s="1754"/>
      <c r="L555" s="1772" t="s">
        <v>194</v>
      </c>
      <c r="M555" s="1754" t="s">
        <v>784</v>
      </c>
      <c r="N555" s="1754"/>
      <c r="O555" s="1772" t="s">
        <v>194</v>
      </c>
      <c r="P555" s="1754" t="s">
        <v>785</v>
      </c>
      <c r="Q555" s="1768"/>
      <c r="R555" s="1768"/>
      <c r="S555" s="1768"/>
      <c r="T555" s="1768"/>
      <c r="U555" s="1768"/>
      <c r="V555" s="1768"/>
      <c r="W555" s="1768"/>
      <c r="X555" s="1767"/>
      <c r="Y555" s="1914"/>
      <c r="Z555" s="1913"/>
      <c r="AA555" s="1913"/>
      <c r="AB555" s="1794"/>
      <c r="AC555" s="1954"/>
      <c r="AD555" s="1954"/>
      <c r="AE555" s="1954"/>
      <c r="AF555" s="1954"/>
      <c r="AI555" s="1735" t="str">
        <f>"2A:field164:" &amp; IF(I555="■",1,IF(L555="■",2,IF(O555="■",3,0)))</f>
        <v>2A:field164:0</v>
      </c>
    </row>
    <row r="556" spans="1:35" s="1735" customFormat="1" ht="18.75" hidden="1" customHeight="1">
      <c r="A556" s="2005"/>
      <c r="B556" s="2004"/>
      <c r="C556" s="1764"/>
      <c r="D556" s="1763"/>
      <c r="E556" s="1762"/>
      <c r="F556" s="1761"/>
      <c r="G556" s="1762"/>
      <c r="H556" s="1917" t="s">
        <v>794</v>
      </c>
      <c r="I556" s="1773" t="s">
        <v>194</v>
      </c>
      <c r="J556" s="1754" t="s">
        <v>750</v>
      </c>
      <c r="K556" s="1754"/>
      <c r="L556" s="1772" t="s">
        <v>194</v>
      </c>
      <c r="M556" s="1754" t="s">
        <v>784</v>
      </c>
      <c r="N556" s="1754"/>
      <c r="O556" s="1772" t="s">
        <v>194</v>
      </c>
      <c r="P556" s="1754" t="s">
        <v>785</v>
      </c>
      <c r="Q556" s="1768"/>
      <c r="R556" s="1768"/>
      <c r="S556" s="1768"/>
      <c r="T556" s="1768"/>
      <c r="U556" s="1829"/>
      <c r="V556" s="1829"/>
      <c r="W556" s="1829"/>
      <c r="X556" s="1828"/>
      <c r="Y556" s="1914"/>
      <c r="Z556" s="1913"/>
      <c r="AA556" s="1913"/>
      <c r="AB556" s="1794"/>
      <c r="AC556" s="1954"/>
      <c r="AD556" s="1954"/>
      <c r="AE556" s="1954"/>
      <c r="AF556" s="1954"/>
      <c r="AI556" s="1735" t="str">
        <f>"2A:field225:" &amp; IF(I556="■",1,IF(L556="■",2,IF(O556="■",3,0)))</f>
        <v>2A:field225:0</v>
      </c>
    </row>
    <row r="557" spans="1:35" s="1735" customFormat="1" ht="18.75" hidden="1" customHeight="1">
      <c r="A557" s="2005"/>
      <c r="B557" s="2004"/>
      <c r="C557" s="1764"/>
      <c r="D557" s="1763"/>
      <c r="E557" s="1762"/>
      <c r="F557" s="1761"/>
      <c r="G557" s="1762"/>
      <c r="H557" s="1759" t="s">
        <v>795</v>
      </c>
      <c r="I557" s="1773" t="s">
        <v>194</v>
      </c>
      <c r="J557" s="1754" t="s">
        <v>750</v>
      </c>
      <c r="K557" s="1754"/>
      <c r="L557" s="1772" t="s">
        <v>194</v>
      </c>
      <c r="M557" s="1754" t="s">
        <v>796</v>
      </c>
      <c r="N557" s="1754"/>
      <c r="O557" s="1772" t="s">
        <v>194</v>
      </c>
      <c r="P557" s="1754" t="s">
        <v>797</v>
      </c>
      <c r="Q557" s="1771"/>
      <c r="R557" s="1772" t="s">
        <v>194</v>
      </c>
      <c r="S557" s="1754" t="s">
        <v>798</v>
      </c>
      <c r="T557" s="1771"/>
      <c r="U557" s="1771"/>
      <c r="V557" s="1771"/>
      <c r="W557" s="1771"/>
      <c r="X557" s="1770"/>
      <c r="Y557" s="1914"/>
      <c r="Z557" s="1913"/>
      <c r="AA557" s="1913"/>
      <c r="AB557" s="1794"/>
      <c r="AC557" s="1954"/>
      <c r="AD557" s="1954"/>
      <c r="AE557" s="1954"/>
      <c r="AF557" s="1954"/>
      <c r="AI557" s="1735" t="str">
        <f>"2A:serteikyo_kyoka_code:" &amp; IF(I557="■",1,IF(L557="■",6,IF(O557="■",5,IF(R557="■",7,0))))</f>
        <v>2A:serteikyo_kyoka_code:0</v>
      </c>
    </row>
    <row r="558" spans="1:35" s="1735" customFormat="1" ht="18.75" hidden="1" customHeight="1">
      <c r="A558" s="2005"/>
      <c r="B558" s="2004"/>
      <c r="C558" s="1764"/>
      <c r="D558" s="1763"/>
      <c r="E558" s="1762"/>
      <c r="F558" s="1761"/>
      <c r="G558" s="1762"/>
      <c r="H558" s="1788" t="s">
        <v>1665</v>
      </c>
      <c r="I558" s="1969" t="s">
        <v>194</v>
      </c>
      <c r="J558" s="1968" t="s">
        <v>750</v>
      </c>
      <c r="K558" s="1968"/>
      <c r="L558" s="1967" t="s">
        <v>194</v>
      </c>
      <c r="M558" s="1968" t="s">
        <v>764</v>
      </c>
      <c r="N558" s="1968"/>
      <c r="O558" s="1923"/>
      <c r="P558" s="1923"/>
      <c r="Q558" s="1923"/>
      <c r="R558" s="1923"/>
      <c r="S558" s="1923"/>
      <c r="T558" s="1923"/>
      <c r="U558" s="1923"/>
      <c r="V558" s="1923"/>
      <c r="W558" s="1923"/>
      <c r="X558" s="1956"/>
      <c r="Y558" s="1914"/>
      <c r="Z558" s="1913"/>
      <c r="AA558" s="1913"/>
      <c r="AB558" s="1794"/>
      <c r="AC558" s="1954"/>
      <c r="AD558" s="1954"/>
      <c r="AE558" s="1954"/>
      <c r="AF558" s="1954"/>
      <c r="AI558" s="1735" t="str">
        <f>"2A:field221:" &amp; IF(I558="■",1,IF(L558="■",2,0))</f>
        <v>2A:field221:0</v>
      </c>
    </row>
    <row r="559" spans="1:35" s="1735" customFormat="1" ht="18.75" hidden="1" customHeight="1">
      <c r="A559" s="2005"/>
      <c r="B559" s="2004"/>
      <c r="C559" s="1764"/>
      <c r="D559" s="1763"/>
      <c r="E559" s="1762"/>
      <c r="F559" s="1761"/>
      <c r="G559" s="1762"/>
      <c r="H559" s="1783"/>
      <c r="I559" s="1969"/>
      <c r="J559" s="1968"/>
      <c r="K559" s="1968"/>
      <c r="L559" s="1967"/>
      <c r="M559" s="1968"/>
      <c r="N559" s="1968"/>
      <c r="O559" s="1756"/>
      <c r="P559" s="1756"/>
      <c r="Q559" s="1756"/>
      <c r="R559" s="1756"/>
      <c r="S559" s="1756"/>
      <c r="T559" s="1756"/>
      <c r="U559" s="1756"/>
      <c r="V559" s="1756"/>
      <c r="W559" s="1756"/>
      <c r="X559" s="1814"/>
      <c r="Y559" s="1914"/>
      <c r="Z559" s="1913"/>
      <c r="AA559" s="1913"/>
      <c r="AB559" s="1794"/>
      <c r="AC559" s="1954"/>
      <c r="AD559" s="1954"/>
      <c r="AE559" s="1954"/>
      <c r="AF559" s="1954"/>
    </row>
    <row r="560" spans="1:35" s="1735" customFormat="1" ht="18.75" hidden="1" customHeight="1">
      <c r="A560" s="1752"/>
      <c r="B560" s="1751"/>
      <c r="C560" s="1750"/>
      <c r="D560" s="1749"/>
      <c r="E560" s="1748"/>
      <c r="F560" s="1747"/>
      <c r="G560" s="1808"/>
      <c r="H560" s="1909" t="s">
        <v>1553</v>
      </c>
      <c r="I560" s="1744" t="s">
        <v>194</v>
      </c>
      <c r="J560" s="1905" t="s">
        <v>750</v>
      </c>
      <c r="K560" s="1905"/>
      <c r="L560" s="1743" t="s">
        <v>194</v>
      </c>
      <c r="M560" s="1905" t="s">
        <v>1552</v>
      </c>
      <c r="N560" s="1908"/>
      <c r="O560" s="1743" t="s">
        <v>194</v>
      </c>
      <c r="P560" s="1907" t="s">
        <v>1551</v>
      </c>
      <c r="Q560" s="1906"/>
      <c r="R560" s="1743" t="s">
        <v>194</v>
      </c>
      <c r="S560" s="1905" t="s">
        <v>1550</v>
      </c>
      <c r="T560" s="1906"/>
      <c r="U560" s="1743" t="s">
        <v>194</v>
      </c>
      <c r="V560" s="1905" t="s">
        <v>1549</v>
      </c>
      <c r="W560" s="1904"/>
      <c r="X560" s="1903"/>
      <c r="Y560" s="1902"/>
      <c r="Z560" s="1902"/>
      <c r="AA560" s="1902"/>
      <c r="AB560" s="1901"/>
      <c r="AC560" s="1953"/>
      <c r="AD560" s="1953"/>
      <c r="AE560" s="1953"/>
      <c r="AF560" s="1953"/>
      <c r="AI560" s="1735" t="str">
        <f>"2A:shoguukaizen_code:"&amp;IF(I560="■",1,IF(L560="■",7,IF(O560="■",8,IF(R560="■",9,IF(U560="■","A",0)))))</f>
        <v>2A:shoguukaizen_code:0</v>
      </c>
    </row>
    <row r="561" spans="1:37" s="1735" customFormat="1" ht="18.75" hidden="1" customHeight="1">
      <c r="A561" s="1807"/>
      <c r="B561" s="1806"/>
      <c r="C561" s="1849"/>
      <c r="D561" s="1848"/>
      <c r="E561" s="1804"/>
      <c r="F561" s="1803"/>
      <c r="G561" s="1804"/>
      <c r="H561" s="2003" t="s">
        <v>98</v>
      </c>
      <c r="I561" s="1800" t="s">
        <v>194</v>
      </c>
      <c r="J561" s="1799" t="s">
        <v>750</v>
      </c>
      <c r="K561" s="1799"/>
      <c r="L561" s="1845"/>
      <c r="M561" s="1798" t="s">
        <v>194</v>
      </c>
      <c r="N561" s="1799" t="s">
        <v>751</v>
      </c>
      <c r="O561" s="1799"/>
      <c r="P561" s="1845"/>
      <c r="Q561" s="1798" t="s">
        <v>194</v>
      </c>
      <c r="R561" s="1797" t="s">
        <v>752</v>
      </c>
      <c r="S561" s="1797"/>
      <c r="T561" s="1846"/>
      <c r="U561" s="1846"/>
      <c r="V561" s="1846"/>
      <c r="W561" s="1846"/>
      <c r="X561" s="1960"/>
      <c r="Y561" s="1873" t="s">
        <v>194</v>
      </c>
      <c r="Z561" s="1872" t="s">
        <v>749</v>
      </c>
      <c r="AA561" s="1872"/>
      <c r="AB561" s="1929"/>
      <c r="AC561" s="1873" t="s">
        <v>194</v>
      </c>
      <c r="AD561" s="1872" t="s">
        <v>749</v>
      </c>
      <c r="AE561" s="1872"/>
      <c r="AF561" s="1929"/>
      <c r="AG561" s="1735" t="str">
        <f>"ser_code = '" &amp; IF(A569="■",33,"") &amp; "'"</f>
        <v>ser_code = ''</v>
      </c>
      <c r="AH561" s="1735" t="str">
        <f>"33:jininkbn_code:"&amp;IF(F568="■",1,IF(F569="■",2,0))</f>
        <v>33:jininkbn_code:0</v>
      </c>
      <c r="AI561" s="1735" t="str">
        <f>"33:"&amp;IF(AND(I561="□",M561="□",Q561="□"),"ketu_kangos_code:0",IF(I561="■","ketu_kangos_code:1:ketu_kshoku_code:1",IF(M561="■","ketu_kangos_code:2","ketu_kangos_code:1")&amp;IF(Q561="■",":ketu_kshoku_code:2",":ketu_kshoku_code:1")))</f>
        <v>33:ketu_kangos_code:0</v>
      </c>
      <c r="AJ561" s="1735" t="str">
        <f>"33:field203:" &amp; IF(Y561="■",1,IF(Y562="■",2,0))</f>
        <v>33:field203:0</v>
      </c>
      <c r="AK561" s="1735" t="str">
        <f>"33:waribiki_code:" &amp; IF(AC561="■",1,IF(AC562="■",2,0))</f>
        <v>33:waribiki_code:0</v>
      </c>
    </row>
    <row r="562" spans="1:37" s="1735" customFormat="1" ht="18.75" hidden="1" customHeight="1">
      <c r="A562" s="1766"/>
      <c r="B562" s="1765"/>
      <c r="C562" s="1764"/>
      <c r="D562" s="1763"/>
      <c r="E562" s="1762"/>
      <c r="F562" s="1761"/>
      <c r="G562" s="1762"/>
      <c r="H562" s="1863" t="s">
        <v>1664</v>
      </c>
      <c r="I562" s="1773" t="s">
        <v>194</v>
      </c>
      <c r="J562" s="1754" t="s">
        <v>758</v>
      </c>
      <c r="K562" s="1789"/>
      <c r="L562" s="1791"/>
      <c r="M562" s="1772" t="s">
        <v>194</v>
      </c>
      <c r="N562" s="1754" t="s">
        <v>759</v>
      </c>
      <c r="O562" s="1768"/>
      <c r="P562" s="1768"/>
      <c r="Q562" s="1754"/>
      <c r="R562" s="1754"/>
      <c r="S562" s="1754"/>
      <c r="T562" s="1754"/>
      <c r="U562" s="1754"/>
      <c r="V562" s="1754"/>
      <c r="W562" s="1754"/>
      <c r="X562" s="1753"/>
      <c r="Y562" s="1776" t="s">
        <v>194</v>
      </c>
      <c r="Z562" s="1738" t="s">
        <v>754</v>
      </c>
      <c r="AA562" s="1913"/>
      <c r="AB562" s="1794"/>
      <c r="AC562" s="1776" t="s">
        <v>194</v>
      </c>
      <c r="AD562" s="1738" t="s">
        <v>754</v>
      </c>
      <c r="AE562" s="1913"/>
      <c r="AF562" s="1794"/>
      <c r="AG562" s="1735" t="str">
        <f>"33:sisetukbn_code:" &amp; IF(D567="■",1,IF(D568="■",2,IF(D569="■",3,IF(D570="■",5,IF(D571="■",6,IF(D572="■",7,0))))))</f>
        <v>33:sisetukbn_code:0</v>
      </c>
      <c r="AI562" s="1735" t="str">
        <f>"33:sintaikousoku_code:" &amp; IF(I562="■",1,IF(M562="■",2,0))</f>
        <v>33:sintaikousoku_code:0</v>
      </c>
    </row>
    <row r="563" spans="1:37" s="1735" customFormat="1" ht="19.5" hidden="1" customHeight="1">
      <c r="A563" s="1766"/>
      <c r="B563" s="1765"/>
      <c r="C563" s="1764"/>
      <c r="D563" s="1763"/>
      <c r="E563" s="1762"/>
      <c r="F563" s="1761"/>
      <c r="G563" s="1793"/>
      <c r="H563" s="1792" t="s">
        <v>760</v>
      </c>
      <c r="I563" s="1773" t="s">
        <v>194</v>
      </c>
      <c r="J563" s="1754" t="s">
        <v>758</v>
      </c>
      <c r="K563" s="1789"/>
      <c r="L563" s="1791"/>
      <c r="M563" s="1772" t="s">
        <v>194</v>
      </c>
      <c r="N563" s="1754" t="s">
        <v>761</v>
      </c>
      <c r="O563" s="1920"/>
      <c r="P563" s="1754"/>
      <c r="Q563" s="1768"/>
      <c r="R563" s="1768"/>
      <c r="S563" s="1768"/>
      <c r="T563" s="1768"/>
      <c r="U563" s="1768"/>
      <c r="V563" s="1768"/>
      <c r="W563" s="1768"/>
      <c r="X563" s="1767"/>
      <c r="Y563" s="1913"/>
      <c r="Z563" s="1913"/>
      <c r="AA563" s="1913"/>
      <c r="AB563" s="1794"/>
      <c r="AC563" s="1914"/>
      <c r="AD563" s="1913"/>
      <c r="AE563" s="1913"/>
      <c r="AF563" s="1794"/>
      <c r="AI563" s="1735" t="str">
        <f>"33:field223:" &amp; IF(I563="■",1,IF(M563="■",2,0))</f>
        <v>33:field223:0</v>
      </c>
    </row>
    <row r="564" spans="1:37" s="1735" customFormat="1" ht="19.5" hidden="1" customHeight="1">
      <c r="A564" s="1766"/>
      <c r="B564" s="1765"/>
      <c r="C564" s="1764"/>
      <c r="D564" s="1763"/>
      <c r="E564" s="1762"/>
      <c r="F564" s="1761"/>
      <c r="G564" s="1793"/>
      <c r="H564" s="1792" t="s">
        <v>762</v>
      </c>
      <c r="I564" s="1773" t="s">
        <v>194</v>
      </c>
      <c r="J564" s="1754" t="s">
        <v>758</v>
      </c>
      <c r="K564" s="1789"/>
      <c r="L564" s="1791"/>
      <c r="M564" s="1772" t="s">
        <v>194</v>
      </c>
      <c r="N564" s="1754" t="s">
        <v>761</v>
      </c>
      <c r="O564" s="1920"/>
      <c r="P564" s="1754"/>
      <c r="Q564" s="1768"/>
      <c r="R564" s="1768"/>
      <c r="S564" s="1768"/>
      <c r="T564" s="1768"/>
      <c r="U564" s="1768"/>
      <c r="V564" s="1768"/>
      <c r="W564" s="1768"/>
      <c r="X564" s="1767"/>
      <c r="Y564" s="1913"/>
      <c r="Z564" s="1913"/>
      <c r="AA564" s="1913"/>
      <c r="AB564" s="1794"/>
      <c r="AC564" s="1914"/>
      <c r="AD564" s="1913"/>
      <c r="AE564" s="1913"/>
      <c r="AF564" s="1794"/>
      <c r="AI564" s="1735" t="str">
        <f>"33:field232:" &amp; IF(I564="■",1,IF(M564="■",2,0))</f>
        <v>33:field232:0</v>
      </c>
    </row>
    <row r="565" spans="1:37" s="1735" customFormat="1" ht="18.75" hidden="1" customHeight="1">
      <c r="A565" s="1766"/>
      <c r="B565" s="1765"/>
      <c r="C565" s="1764"/>
      <c r="D565" s="1763"/>
      <c r="E565" s="1762"/>
      <c r="F565" s="1761"/>
      <c r="G565" s="1762"/>
      <c r="H565" s="1863" t="s">
        <v>1663</v>
      </c>
      <c r="I565" s="1773" t="s">
        <v>194</v>
      </c>
      <c r="J565" s="1754" t="s">
        <v>750</v>
      </c>
      <c r="K565" s="1754"/>
      <c r="L565" s="1772" t="s">
        <v>194</v>
      </c>
      <c r="M565" s="1754" t="s">
        <v>784</v>
      </c>
      <c r="N565" s="1754"/>
      <c r="O565" s="1772" t="s">
        <v>194</v>
      </c>
      <c r="P565" s="1754" t="s">
        <v>785</v>
      </c>
      <c r="Q565" s="1754"/>
      <c r="R565" s="1754"/>
      <c r="S565" s="1754"/>
      <c r="T565" s="1754"/>
      <c r="U565" s="1754"/>
      <c r="V565" s="1754"/>
      <c r="W565" s="1754"/>
      <c r="X565" s="1753"/>
      <c r="Y565" s="1914"/>
      <c r="Z565" s="1913"/>
      <c r="AA565" s="1913"/>
      <c r="AB565" s="1794"/>
      <c r="AC565" s="1914"/>
      <c r="AD565" s="1913"/>
      <c r="AE565" s="1913"/>
      <c r="AF565" s="1794"/>
      <c r="AI565" s="1735" t="str">
        <f>"33:field165:" &amp; IF(I565="■",1,IF(L565="■",2,IF(O565="■",3,0)))</f>
        <v>33:field165:0</v>
      </c>
    </row>
    <row r="566" spans="1:37" s="1735" customFormat="1" ht="37.5" hidden="1" customHeight="1">
      <c r="A566" s="1766"/>
      <c r="B566" s="1765"/>
      <c r="C566" s="1764"/>
      <c r="D566" s="1763"/>
      <c r="E566" s="1762"/>
      <c r="F566" s="1761"/>
      <c r="G566" s="1762"/>
      <c r="H566" s="1777" t="s">
        <v>1662</v>
      </c>
      <c r="I566" s="1773" t="s">
        <v>194</v>
      </c>
      <c r="J566" s="1754" t="s">
        <v>750</v>
      </c>
      <c r="K566" s="1789"/>
      <c r="L566" s="1772" t="s">
        <v>194</v>
      </c>
      <c r="M566" s="1754" t="s">
        <v>764</v>
      </c>
      <c r="N566" s="1754"/>
      <c r="O566" s="1754"/>
      <c r="P566" s="1754"/>
      <c r="Q566" s="1754"/>
      <c r="R566" s="1754"/>
      <c r="S566" s="1754"/>
      <c r="T566" s="1754"/>
      <c r="U566" s="1754"/>
      <c r="V566" s="1754"/>
      <c r="W566" s="1754"/>
      <c r="X566" s="1753"/>
      <c r="Y566" s="1914"/>
      <c r="Z566" s="1913"/>
      <c r="AA566" s="1913"/>
      <c r="AB566" s="1794"/>
      <c r="AC566" s="1914"/>
      <c r="AD566" s="1913"/>
      <c r="AE566" s="1913"/>
      <c r="AF566" s="1794"/>
      <c r="AI566" s="1735" t="str">
        <f>"33:field214:" &amp; IF(I566="■",1,IF(L566="■",2,0))</f>
        <v>33:field214:0</v>
      </c>
    </row>
    <row r="567" spans="1:37" s="1735" customFormat="1" ht="18.75" hidden="1" customHeight="1">
      <c r="A567" s="1766"/>
      <c r="B567" s="1765"/>
      <c r="C567" s="1764"/>
      <c r="D567" s="1776" t="s">
        <v>194</v>
      </c>
      <c r="E567" s="1762" t="s">
        <v>1654</v>
      </c>
      <c r="F567" s="1761"/>
      <c r="G567" s="1762"/>
      <c r="H567" s="1759" t="s">
        <v>772</v>
      </c>
      <c r="I567" s="1773" t="s">
        <v>194</v>
      </c>
      <c r="J567" s="1754" t="s">
        <v>750</v>
      </c>
      <c r="K567" s="1754"/>
      <c r="L567" s="1772" t="s">
        <v>194</v>
      </c>
      <c r="M567" s="1754" t="s">
        <v>773</v>
      </c>
      <c r="N567" s="1754"/>
      <c r="O567" s="1772" t="s">
        <v>194</v>
      </c>
      <c r="P567" s="1754" t="s">
        <v>774</v>
      </c>
      <c r="Q567" s="1754"/>
      <c r="R567" s="1754"/>
      <c r="S567" s="1754"/>
      <c r="T567" s="1754"/>
      <c r="U567" s="1754"/>
      <c r="V567" s="1754"/>
      <c r="W567" s="1754"/>
      <c r="X567" s="1753"/>
      <c r="Y567" s="1914"/>
      <c r="Z567" s="1913"/>
      <c r="AA567" s="1913"/>
      <c r="AB567" s="1794"/>
      <c r="AC567" s="1914"/>
      <c r="AD567" s="1913"/>
      <c r="AE567" s="1913"/>
      <c r="AF567" s="1794"/>
      <c r="AI567" s="1735" t="str">
        <f>"33:field185:" &amp; IF(I567="■",1,IF(L567="■",3,IF(O567="■",2,0)))</f>
        <v>33:field185:0</v>
      </c>
    </row>
    <row r="568" spans="1:37" s="1735" customFormat="1" ht="18.75" hidden="1" customHeight="1">
      <c r="A568" s="1766"/>
      <c r="B568" s="1765"/>
      <c r="C568" s="1764"/>
      <c r="D568" s="1776" t="s">
        <v>194</v>
      </c>
      <c r="E568" s="1762" t="s">
        <v>1651</v>
      </c>
      <c r="F568" s="1776" t="s">
        <v>194</v>
      </c>
      <c r="G568" s="1762" t="s">
        <v>1661</v>
      </c>
      <c r="H568" s="1759" t="s">
        <v>776</v>
      </c>
      <c r="I568" s="1773" t="s">
        <v>194</v>
      </c>
      <c r="J568" s="1754" t="s">
        <v>750</v>
      </c>
      <c r="K568" s="1789"/>
      <c r="L568" s="1772" t="s">
        <v>194</v>
      </c>
      <c r="M568" s="1754" t="s">
        <v>764</v>
      </c>
      <c r="N568" s="1754"/>
      <c r="O568" s="1754"/>
      <c r="P568" s="1754"/>
      <c r="Q568" s="1754"/>
      <c r="R568" s="1754"/>
      <c r="S568" s="1754"/>
      <c r="T568" s="1754"/>
      <c r="U568" s="1754"/>
      <c r="V568" s="1754"/>
      <c r="W568" s="1754"/>
      <c r="X568" s="1753"/>
      <c r="Y568" s="1914"/>
      <c r="Z568" s="1913"/>
      <c r="AA568" s="1913"/>
      <c r="AB568" s="1794"/>
      <c r="AC568" s="1914"/>
      <c r="AD568" s="1913"/>
      <c r="AE568" s="1913"/>
      <c r="AF568" s="1794"/>
      <c r="AI568" s="1735" t="str">
        <f>"33:kobetu_kunren_code:" &amp; IF(I568="■",1,IF(L568="■",2,0))</f>
        <v>33:kobetu_kunren_code:0</v>
      </c>
    </row>
    <row r="569" spans="1:37" s="1735" customFormat="1" ht="18.75" hidden="1" customHeight="1">
      <c r="A569" s="1776" t="s">
        <v>194</v>
      </c>
      <c r="B569" s="1765">
        <v>33</v>
      </c>
      <c r="C569" s="1764" t="s">
        <v>1660</v>
      </c>
      <c r="D569" s="1776" t="s">
        <v>194</v>
      </c>
      <c r="E569" s="1762" t="s">
        <v>1659</v>
      </c>
      <c r="F569" s="1776" t="s">
        <v>194</v>
      </c>
      <c r="G569" s="1762" t="s">
        <v>1658</v>
      </c>
      <c r="H569" s="1759" t="s">
        <v>780</v>
      </c>
      <c r="I569" s="1773" t="s">
        <v>194</v>
      </c>
      <c r="J569" s="1754" t="s">
        <v>750</v>
      </c>
      <c r="K569" s="1789"/>
      <c r="L569" s="1772" t="s">
        <v>194</v>
      </c>
      <c r="M569" s="1754" t="s">
        <v>764</v>
      </c>
      <c r="N569" s="1754"/>
      <c r="O569" s="1754"/>
      <c r="P569" s="1754"/>
      <c r="Q569" s="1754"/>
      <c r="R569" s="1754"/>
      <c r="S569" s="1754"/>
      <c r="T569" s="1754"/>
      <c r="U569" s="1754"/>
      <c r="V569" s="1754"/>
      <c r="W569" s="1754"/>
      <c r="X569" s="1753"/>
      <c r="Y569" s="1914"/>
      <c r="Z569" s="1913"/>
      <c r="AA569" s="1913"/>
      <c r="AB569" s="1794"/>
      <c r="AC569" s="1914"/>
      <c r="AD569" s="1913"/>
      <c r="AE569" s="1913"/>
      <c r="AF569" s="1794"/>
      <c r="AI569" s="1735" t="str">
        <f>"33:field186:" &amp; IF(I569="■",1,IF(L569="■",2,0))</f>
        <v>33:field186:0</v>
      </c>
    </row>
    <row r="570" spans="1:37" s="1735" customFormat="1" ht="18.75" hidden="1" customHeight="1">
      <c r="A570" s="1766"/>
      <c r="B570" s="1765"/>
      <c r="C570" s="1764"/>
      <c r="D570" s="1776" t="s">
        <v>194</v>
      </c>
      <c r="E570" s="1762" t="s">
        <v>1648</v>
      </c>
      <c r="F570" s="1761"/>
      <c r="G570" s="1762" t="s">
        <v>1657</v>
      </c>
      <c r="H570" s="1863" t="s">
        <v>1653</v>
      </c>
      <c r="I570" s="1773" t="s">
        <v>194</v>
      </c>
      <c r="J570" s="1754" t="s">
        <v>750</v>
      </c>
      <c r="K570" s="1754"/>
      <c r="L570" s="1772" t="s">
        <v>194</v>
      </c>
      <c r="M570" s="1754" t="s">
        <v>1122</v>
      </c>
      <c r="N570" s="1754"/>
      <c r="O570" s="1772" t="s">
        <v>194</v>
      </c>
      <c r="P570" s="1754" t="s">
        <v>1652</v>
      </c>
      <c r="Q570" s="1754"/>
      <c r="R570" s="1754"/>
      <c r="S570" s="1754"/>
      <c r="T570" s="1754"/>
      <c r="U570" s="1754"/>
      <c r="V570" s="1789"/>
      <c r="W570" s="1789"/>
      <c r="X570" s="1918"/>
      <c r="Y570" s="1914"/>
      <c r="Z570" s="1913"/>
      <c r="AA570" s="1913"/>
      <c r="AB570" s="1794"/>
      <c r="AC570" s="1914"/>
      <c r="AD570" s="1913"/>
      <c r="AE570" s="1913"/>
      <c r="AF570" s="1794"/>
      <c r="AI570" s="1735" t="str">
        <f>"33:yakankango_code:" &amp; IF(I570="■",1,IF(L570="■",3,IF(O570="■",2,0)))</f>
        <v>33:yakankango_code:0</v>
      </c>
    </row>
    <row r="571" spans="1:37" s="1735" customFormat="1" ht="18.75" hidden="1" customHeight="1">
      <c r="A571" s="1766"/>
      <c r="B571" s="1765"/>
      <c r="C571" s="1764"/>
      <c r="D571" s="1776" t="s">
        <v>194</v>
      </c>
      <c r="E571" s="1762" t="s">
        <v>1647</v>
      </c>
      <c r="F571" s="1761"/>
      <c r="G571" s="1762"/>
      <c r="H571" s="1863" t="s">
        <v>1650</v>
      </c>
      <c r="I571" s="1773" t="s">
        <v>194</v>
      </c>
      <c r="J571" s="1754" t="s">
        <v>750</v>
      </c>
      <c r="K571" s="1789"/>
      <c r="L571" s="1772" t="s">
        <v>194</v>
      </c>
      <c r="M571" s="1754" t="s">
        <v>764</v>
      </c>
      <c r="N571" s="1789"/>
      <c r="O571" s="1789"/>
      <c r="P571" s="1789"/>
      <c r="Q571" s="1789"/>
      <c r="R571" s="1789"/>
      <c r="S571" s="1789"/>
      <c r="T571" s="1789"/>
      <c r="U571" s="1789"/>
      <c r="V571" s="1789"/>
      <c r="W571" s="1789"/>
      <c r="X571" s="1918"/>
      <c r="Y571" s="1914"/>
      <c r="Z571" s="1913"/>
      <c r="AA571" s="1913"/>
      <c r="AB571" s="1794"/>
      <c r="AC571" s="1914"/>
      <c r="AD571" s="1913"/>
      <c r="AE571" s="1913"/>
      <c r="AF571" s="1794"/>
      <c r="AI571" s="1735" t="str">
        <f>"33:jyakuninti_uke_code:" &amp; IF(I571="■",1,IF(L571="■",2,0))</f>
        <v>33:jyakuninti_uke_code:0</v>
      </c>
    </row>
    <row r="572" spans="1:37" s="1735" customFormat="1" ht="18.75" hidden="1" customHeight="1">
      <c r="A572" s="1766"/>
      <c r="B572" s="1765"/>
      <c r="C572" s="1764"/>
      <c r="D572" s="1776" t="s">
        <v>194</v>
      </c>
      <c r="E572" s="1762" t="s">
        <v>1656</v>
      </c>
      <c r="F572" s="1761"/>
      <c r="G572" s="1762"/>
      <c r="H572" s="1759" t="s">
        <v>456</v>
      </c>
      <c r="I572" s="1773" t="s">
        <v>194</v>
      </c>
      <c r="J572" s="1754" t="s">
        <v>750</v>
      </c>
      <c r="K572" s="1789"/>
      <c r="L572" s="1772" t="s">
        <v>194</v>
      </c>
      <c r="M572" s="1754" t="s">
        <v>764</v>
      </c>
      <c r="N572" s="1754"/>
      <c r="O572" s="1754"/>
      <c r="P572" s="1754"/>
      <c r="Q572" s="1754"/>
      <c r="R572" s="1754"/>
      <c r="S572" s="1754"/>
      <c r="T572" s="1754"/>
      <c r="U572" s="1754"/>
      <c r="V572" s="1754"/>
      <c r="W572" s="1754"/>
      <c r="X572" s="1753"/>
      <c r="Y572" s="1914"/>
      <c r="Z572" s="1913"/>
      <c r="AA572" s="1913"/>
      <c r="AB572" s="1794"/>
      <c r="AC572" s="1914"/>
      <c r="AD572" s="1913"/>
      <c r="AE572" s="1913"/>
      <c r="AF572" s="1794"/>
      <c r="AI572" s="1735" t="str">
        <f>"33:field212:" &amp; IF(I572="■",1,IF(L572="■",2,0))</f>
        <v>33:field212:0</v>
      </c>
    </row>
    <row r="573" spans="1:37" s="1735" customFormat="1" ht="18.75" hidden="1" customHeight="1">
      <c r="A573" s="1766"/>
      <c r="B573" s="1765"/>
      <c r="C573" s="1764"/>
      <c r="D573" s="1763"/>
      <c r="E573" s="1762"/>
      <c r="F573" s="1761"/>
      <c r="G573" s="1762"/>
      <c r="H573" s="1769" t="s">
        <v>1655</v>
      </c>
      <c r="I573" s="1773" t="s">
        <v>194</v>
      </c>
      <c r="J573" s="1754" t="s">
        <v>750</v>
      </c>
      <c r="K573" s="1789"/>
      <c r="L573" s="1772" t="s">
        <v>194</v>
      </c>
      <c r="M573" s="1754" t="s">
        <v>764</v>
      </c>
      <c r="N573" s="1789"/>
      <c r="O573" s="1789"/>
      <c r="P573" s="1789"/>
      <c r="Q573" s="1789"/>
      <c r="R573" s="1789"/>
      <c r="S573" s="1789"/>
      <c r="T573" s="1789"/>
      <c r="U573" s="1789"/>
      <c r="V573" s="1789"/>
      <c r="W573" s="1789"/>
      <c r="X573" s="1918"/>
      <c r="Y573" s="1914"/>
      <c r="Z573" s="1913"/>
      <c r="AA573" s="1913"/>
      <c r="AB573" s="1794"/>
      <c r="AC573" s="1914"/>
      <c r="AD573" s="1913"/>
      <c r="AE573" s="1913"/>
      <c r="AF573" s="1794"/>
      <c r="AI573" s="1735" t="str">
        <f>"33:terminal_code:" &amp; IF(I573="■",1,IF(L573="■",2,0))</f>
        <v>33:terminal_code:0</v>
      </c>
    </row>
    <row r="574" spans="1:37" s="1735" customFormat="1" ht="18.75" hidden="1" customHeight="1">
      <c r="A574" s="1766"/>
      <c r="B574" s="1765"/>
      <c r="C574" s="1764"/>
      <c r="D574" s="1763"/>
      <c r="E574" s="1762"/>
      <c r="F574" s="1761"/>
      <c r="G574" s="1762"/>
      <c r="H574" s="1863" t="s">
        <v>791</v>
      </c>
      <c r="I574" s="1773" t="s">
        <v>194</v>
      </c>
      <c r="J574" s="1754" t="s">
        <v>750</v>
      </c>
      <c r="K574" s="1754"/>
      <c r="L574" s="1772" t="s">
        <v>194</v>
      </c>
      <c r="M574" s="1754" t="s">
        <v>784</v>
      </c>
      <c r="N574" s="1754"/>
      <c r="O574" s="1772" t="s">
        <v>194</v>
      </c>
      <c r="P574" s="1754" t="s">
        <v>785</v>
      </c>
      <c r="Q574" s="1789"/>
      <c r="R574" s="1789"/>
      <c r="S574" s="1789"/>
      <c r="T574" s="1789"/>
      <c r="U574" s="1789"/>
      <c r="V574" s="1789"/>
      <c r="W574" s="1789"/>
      <c r="X574" s="1918"/>
      <c r="Y574" s="1914"/>
      <c r="Z574" s="1913"/>
      <c r="AA574" s="1913"/>
      <c r="AB574" s="1794"/>
      <c r="AC574" s="1914"/>
      <c r="AD574" s="1913"/>
      <c r="AE574" s="1913"/>
      <c r="AF574" s="1794"/>
      <c r="AI574" s="1735" t="str">
        <f>"33:ninti_senmoncare_code:" &amp; IF(I574="■",1,IF(O574="■",3,IF(L574="■",2,0)))</f>
        <v>33:ninti_senmoncare_code:0</v>
      </c>
    </row>
    <row r="575" spans="1:37" s="1735" customFormat="1" ht="18.75" hidden="1" customHeight="1">
      <c r="A575" s="1766"/>
      <c r="B575" s="1765"/>
      <c r="C575" s="1764"/>
      <c r="D575" s="1763"/>
      <c r="E575" s="1762"/>
      <c r="F575" s="1761"/>
      <c r="G575" s="1762"/>
      <c r="H575" s="1769" t="s">
        <v>1124</v>
      </c>
      <c r="I575" s="1773" t="s">
        <v>194</v>
      </c>
      <c r="J575" s="1754" t="s">
        <v>750</v>
      </c>
      <c r="K575" s="1754"/>
      <c r="L575" s="1772" t="s">
        <v>194</v>
      </c>
      <c r="M575" s="1756" t="s">
        <v>764</v>
      </c>
      <c r="N575" s="1754"/>
      <c r="O575" s="1754"/>
      <c r="P575" s="1754"/>
      <c r="Q575" s="1789"/>
      <c r="R575" s="1789"/>
      <c r="S575" s="1789"/>
      <c r="T575" s="1789"/>
      <c r="U575" s="1789"/>
      <c r="V575" s="1789"/>
      <c r="W575" s="1789"/>
      <c r="X575" s="1918"/>
      <c r="Y575" s="1914"/>
      <c r="Z575" s="1913"/>
      <c r="AA575" s="1913"/>
      <c r="AB575" s="1794"/>
      <c r="AC575" s="1914"/>
      <c r="AD575" s="1913"/>
      <c r="AE575" s="1913"/>
      <c r="AF575" s="1794"/>
      <c r="AI575" s="1735" t="str">
        <f>"33:field226:" &amp; IF(I575="■",1,IF(L575="■",2,0))</f>
        <v>33:field226:0</v>
      </c>
    </row>
    <row r="576" spans="1:37" s="1735" customFormat="1" ht="18.75" hidden="1" customHeight="1">
      <c r="A576" s="1766"/>
      <c r="B576" s="1765"/>
      <c r="C576" s="1916"/>
      <c r="D576" s="1763"/>
      <c r="E576" s="1762"/>
      <c r="F576" s="1761"/>
      <c r="G576" s="1762"/>
      <c r="H576" s="1769" t="s">
        <v>1125</v>
      </c>
      <c r="I576" s="1773" t="s">
        <v>194</v>
      </c>
      <c r="J576" s="1754" t="s">
        <v>750</v>
      </c>
      <c r="K576" s="1754"/>
      <c r="L576" s="1772" t="s">
        <v>194</v>
      </c>
      <c r="M576" s="1756" t="s">
        <v>764</v>
      </c>
      <c r="N576" s="1754"/>
      <c r="O576" s="1754"/>
      <c r="P576" s="1754"/>
      <c r="Q576" s="1789"/>
      <c r="R576" s="1789"/>
      <c r="S576" s="1789"/>
      <c r="T576" s="1789"/>
      <c r="U576" s="1789"/>
      <c r="V576" s="1789"/>
      <c r="W576" s="1789"/>
      <c r="X576" s="1918"/>
      <c r="Y576" s="1914"/>
      <c r="Z576" s="1913"/>
      <c r="AA576" s="1913"/>
      <c r="AB576" s="1794"/>
      <c r="AC576" s="1914"/>
      <c r="AD576" s="1913"/>
      <c r="AE576" s="1913"/>
      <c r="AF576" s="1794"/>
      <c r="AI576" s="1735" t="str">
        <f>"33:field227:" &amp; IF(I576="■",1,IF(L576="■",2,0))</f>
        <v>33:field227:0</v>
      </c>
    </row>
    <row r="577" spans="1:37" s="1735" customFormat="1" ht="18.75" hidden="1" customHeight="1">
      <c r="A577" s="1766"/>
      <c r="B577" s="1765"/>
      <c r="C577" s="1764"/>
      <c r="D577" s="1763"/>
      <c r="E577" s="1762"/>
      <c r="F577" s="1761"/>
      <c r="G577" s="1762"/>
      <c r="H577" s="1917" t="s">
        <v>794</v>
      </c>
      <c r="I577" s="1773" t="s">
        <v>194</v>
      </c>
      <c r="J577" s="1754" t="s">
        <v>750</v>
      </c>
      <c r="K577" s="1754"/>
      <c r="L577" s="1772" t="s">
        <v>194</v>
      </c>
      <c r="M577" s="1754" t="s">
        <v>784</v>
      </c>
      <c r="N577" s="1754"/>
      <c r="O577" s="1772" t="s">
        <v>194</v>
      </c>
      <c r="P577" s="1754" t="s">
        <v>785</v>
      </c>
      <c r="Q577" s="1768"/>
      <c r="R577" s="1768"/>
      <c r="S577" s="1768"/>
      <c r="T577" s="1768"/>
      <c r="U577" s="1829"/>
      <c r="V577" s="1829"/>
      <c r="W577" s="1829"/>
      <c r="X577" s="1828"/>
      <c r="Y577" s="1914"/>
      <c r="Z577" s="1913"/>
      <c r="AA577" s="1913"/>
      <c r="AB577" s="1794"/>
      <c r="AC577" s="1914"/>
      <c r="AD577" s="1913"/>
      <c r="AE577" s="1913"/>
      <c r="AF577" s="1794"/>
      <c r="AI577" s="1735" t="str">
        <f>"33:field225:" &amp; IF(I577="■",1,IF(L577="■",2,IF(O577="■",3,0)))</f>
        <v>33:field225:0</v>
      </c>
    </row>
    <row r="578" spans="1:37" s="1735" customFormat="1" ht="18.75" hidden="1" customHeight="1">
      <c r="A578" s="1766"/>
      <c r="B578" s="1765"/>
      <c r="C578" s="1764"/>
      <c r="D578" s="1763"/>
      <c r="E578" s="1762"/>
      <c r="F578" s="1761"/>
      <c r="G578" s="1762"/>
      <c r="H578" s="1777" t="s">
        <v>1646</v>
      </c>
      <c r="I578" s="1773" t="s">
        <v>194</v>
      </c>
      <c r="J578" s="1754" t="s">
        <v>750</v>
      </c>
      <c r="K578" s="1754"/>
      <c r="L578" s="1772" t="s">
        <v>194</v>
      </c>
      <c r="M578" s="1754" t="s">
        <v>796</v>
      </c>
      <c r="N578" s="1754"/>
      <c r="O578" s="1772" t="s">
        <v>194</v>
      </c>
      <c r="P578" s="1754" t="s">
        <v>774</v>
      </c>
      <c r="Q578" s="1771"/>
      <c r="R578" s="1772" t="s">
        <v>194</v>
      </c>
      <c r="S578" s="1754" t="s">
        <v>798</v>
      </c>
      <c r="T578" s="1754"/>
      <c r="U578" s="1754"/>
      <c r="V578" s="1754"/>
      <c r="W578" s="1754"/>
      <c r="X578" s="1753"/>
      <c r="Y578" s="1914"/>
      <c r="Z578" s="1913"/>
      <c r="AA578" s="1913"/>
      <c r="AB578" s="1794"/>
      <c r="AC578" s="1914"/>
      <c r="AD578" s="1913"/>
      <c r="AE578" s="1913"/>
      <c r="AF578" s="1794"/>
      <c r="AI578" s="1735" t="str">
        <f>"33:serteikyo_kyoka_code:" &amp; IF(I578="■",1,IF(L578="■",6,IF(O578="■",2,IF(R578="■",7,0))))</f>
        <v>33:serteikyo_kyoka_code:0</v>
      </c>
    </row>
    <row r="579" spans="1:37" s="1735" customFormat="1" ht="18.75" hidden="1" customHeight="1">
      <c r="A579" s="1766"/>
      <c r="B579" s="1765"/>
      <c r="C579" s="1764"/>
      <c r="D579" s="1763"/>
      <c r="E579" s="1762"/>
      <c r="F579" s="1761"/>
      <c r="G579" s="1793"/>
      <c r="H579" s="1952" t="s">
        <v>1553</v>
      </c>
      <c r="I579" s="1924" t="s">
        <v>194</v>
      </c>
      <c r="J579" s="1948" t="s">
        <v>750</v>
      </c>
      <c r="K579" s="1948"/>
      <c r="L579" s="1922" t="s">
        <v>194</v>
      </c>
      <c r="M579" s="1948" t="s">
        <v>1552</v>
      </c>
      <c r="N579" s="1951"/>
      <c r="O579" s="1922" t="s">
        <v>194</v>
      </c>
      <c r="P579" s="1950" t="s">
        <v>1551</v>
      </c>
      <c r="Q579" s="1949"/>
      <c r="R579" s="1922" t="s">
        <v>194</v>
      </c>
      <c r="S579" s="1948" t="s">
        <v>1550</v>
      </c>
      <c r="T579" s="1949"/>
      <c r="U579" s="1922" t="s">
        <v>194</v>
      </c>
      <c r="V579" s="1948" t="s">
        <v>1549</v>
      </c>
      <c r="W579" s="1947"/>
      <c r="X579" s="1946"/>
      <c r="Y579" s="1913"/>
      <c r="Z579" s="1913"/>
      <c r="AA579" s="1913"/>
      <c r="AB579" s="1794"/>
      <c r="AC579" s="1914"/>
      <c r="AD579" s="1913"/>
      <c r="AE579" s="1913"/>
      <c r="AF579" s="1794"/>
      <c r="AI579" s="1735" t="str">
        <f>"33:shoguukaizen_code:"&amp;IF(I579="■",1,IF(L579="■",7,IF(O579="■",8,IF(R579="■",9,IF(U579="■","A",0)))))</f>
        <v>33:shoguukaizen_code:0</v>
      </c>
    </row>
    <row r="580" spans="1:37" s="1735" customFormat="1" ht="18.75" hidden="1" customHeight="1">
      <c r="A580" s="1807"/>
      <c r="B580" s="1806"/>
      <c r="C580" s="1805"/>
      <c r="D580" s="1803"/>
      <c r="E580" s="1804"/>
      <c r="F580" s="1803"/>
      <c r="G580" s="1802"/>
      <c r="H580" s="2003" t="s">
        <v>98</v>
      </c>
      <c r="I580" s="1800" t="s">
        <v>194</v>
      </c>
      <c r="J580" s="1799" t="s">
        <v>750</v>
      </c>
      <c r="K580" s="1799"/>
      <c r="L580" s="1845"/>
      <c r="M580" s="1798" t="s">
        <v>194</v>
      </c>
      <c r="N580" s="1799" t="s">
        <v>751</v>
      </c>
      <c r="O580" s="1799"/>
      <c r="P580" s="1845"/>
      <c r="Q580" s="1798" t="s">
        <v>194</v>
      </c>
      <c r="R580" s="1797" t="s">
        <v>752</v>
      </c>
      <c r="S580" s="1797"/>
      <c r="T580" s="1846"/>
      <c r="U580" s="1846"/>
      <c r="V580" s="1846"/>
      <c r="W580" s="1846"/>
      <c r="X580" s="1960"/>
      <c r="Y580" s="1873" t="s">
        <v>194</v>
      </c>
      <c r="Z580" s="1872" t="s">
        <v>749</v>
      </c>
      <c r="AA580" s="1872"/>
      <c r="AB580" s="1929"/>
      <c r="AC580" s="1873" t="s">
        <v>194</v>
      </c>
      <c r="AD580" s="1872" t="s">
        <v>749</v>
      </c>
      <c r="AE580" s="1872"/>
      <c r="AF580" s="1929"/>
      <c r="AG580" s="1735" t="str">
        <f>"ser_code = '" &amp; IF(A585="■",27,"") &amp; "'"</f>
        <v>ser_code = ''</v>
      </c>
      <c r="AI580" s="1735" t="str">
        <f>"27:"&amp;IF(AND(I580="□",M580="□",Q580="□"),"ketu_kangos_code:0",IF(I580="■","ketu_kangos_code:1:ketu_kshoku_code:1",IF(M580="■","ketu_kangos_code:2","ketu_kangos_code:1")&amp;IF(Q580="■",":ketu_kshoku_code:2",":ketu_kshoku_code:1")))</f>
        <v>27:ketu_kangos_code:0</v>
      </c>
      <c r="AJ580" s="1735" t="str">
        <f>"27:field203:" &amp; IF(Y580="■",1,IF(Y581="■",2,0))</f>
        <v>27:field203:0</v>
      </c>
      <c r="AK580" s="1735" t="str">
        <f>"27:waribiki_code:" &amp; IF(AC580="■",1,IF(AC581="■",2,0))</f>
        <v>27:waribiki_code:0</v>
      </c>
    </row>
    <row r="581" spans="1:37" s="1735" customFormat="1" ht="18.75" hidden="1" customHeight="1">
      <c r="A581" s="1766"/>
      <c r="B581" s="1765"/>
      <c r="C581" s="1916"/>
      <c r="D581" s="1915"/>
      <c r="E581" s="1762"/>
      <c r="F581" s="1761"/>
      <c r="G581" s="1793"/>
      <c r="H581" s="2002" t="s">
        <v>757</v>
      </c>
      <c r="I581" s="1842" t="s">
        <v>194</v>
      </c>
      <c r="J581" s="1837" t="s">
        <v>758</v>
      </c>
      <c r="K581" s="1841"/>
      <c r="L581" s="1840"/>
      <c r="M581" s="1839" t="s">
        <v>194</v>
      </c>
      <c r="N581" s="1837" t="s">
        <v>759</v>
      </c>
      <c r="O581" s="1841"/>
      <c r="P581" s="2001"/>
      <c r="Q581" s="2001"/>
      <c r="R581" s="2001"/>
      <c r="S581" s="2001"/>
      <c r="T581" s="2001"/>
      <c r="U581" s="2001"/>
      <c r="V581" s="2001"/>
      <c r="W581" s="2001"/>
      <c r="X581" s="2000"/>
      <c r="Y581" s="1776" t="s">
        <v>194</v>
      </c>
      <c r="Z581" s="1738" t="s">
        <v>754</v>
      </c>
      <c r="AA581" s="1913"/>
      <c r="AB581" s="1794"/>
      <c r="AC581" s="1776" t="s">
        <v>194</v>
      </c>
      <c r="AD581" s="1738" t="s">
        <v>754</v>
      </c>
      <c r="AE581" s="1913"/>
      <c r="AF581" s="1794"/>
      <c r="AG581" s="1735" t="str">
        <f>"27:sisetukbn_code:" &amp; IF(D584="■",1,IF(D585="■",2,IF(D586="■",5,IF(D587="■",6,0))))</f>
        <v>27:sisetukbn_code:0</v>
      </c>
      <c r="AI581" s="1735" t="str">
        <f>"2A:sintaikousoku_code:" &amp; IF(I581="■",1,IF(M581="■",2,0))</f>
        <v>2A:sintaikousoku_code:0</v>
      </c>
    </row>
    <row r="582" spans="1:37" s="1735" customFormat="1" ht="19.5" hidden="1" customHeight="1">
      <c r="A582" s="1766"/>
      <c r="B582" s="1765"/>
      <c r="C582" s="1778"/>
      <c r="D582" s="1825"/>
      <c r="E582" s="1762"/>
      <c r="F582" s="1761"/>
      <c r="G582" s="1793"/>
      <c r="H582" s="1792" t="s">
        <v>760</v>
      </c>
      <c r="I582" s="1773" t="s">
        <v>194</v>
      </c>
      <c r="J582" s="1754" t="s">
        <v>758</v>
      </c>
      <c r="K582" s="1789"/>
      <c r="L582" s="1791"/>
      <c r="M582" s="1772" t="s">
        <v>194</v>
      </c>
      <c r="N582" s="1754" t="s">
        <v>761</v>
      </c>
      <c r="O582" s="1920"/>
      <c r="P582" s="1754"/>
      <c r="Q582" s="1768"/>
      <c r="R582" s="1768"/>
      <c r="S582" s="1768"/>
      <c r="T582" s="1768"/>
      <c r="U582" s="1768"/>
      <c r="V582" s="1768"/>
      <c r="W582" s="1768"/>
      <c r="X582" s="1767"/>
      <c r="Y582" s="1825"/>
      <c r="Z582" s="1738"/>
      <c r="AA582" s="1913"/>
      <c r="AB582" s="1794"/>
      <c r="AC582" s="1825"/>
      <c r="AD582" s="1738"/>
      <c r="AE582" s="1913"/>
      <c r="AF582" s="1794"/>
      <c r="AI582" s="1735" t="str">
        <f>"27:field223:" &amp; IF(I582="■",1,IF(M582="■",2,0))</f>
        <v>27:field223:0</v>
      </c>
    </row>
    <row r="583" spans="1:37" s="1735" customFormat="1" ht="19.5" hidden="1" customHeight="1">
      <c r="A583" s="1766"/>
      <c r="B583" s="1765"/>
      <c r="C583" s="1778"/>
      <c r="D583" s="1825"/>
      <c r="E583" s="1762"/>
      <c r="F583" s="1761"/>
      <c r="G583" s="1793"/>
      <c r="H583" s="1792" t="s">
        <v>762</v>
      </c>
      <c r="I583" s="1773" t="s">
        <v>194</v>
      </c>
      <c r="J583" s="1754" t="s">
        <v>758</v>
      </c>
      <c r="K583" s="1789"/>
      <c r="L583" s="1791"/>
      <c r="M583" s="1772" t="s">
        <v>194</v>
      </c>
      <c r="N583" s="1754" t="s">
        <v>761</v>
      </c>
      <c r="O583" s="1920"/>
      <c r="P583" s="1754"/>
      <c r="Q583" s="1768"/>
      <c r="R583" s="1768"/>
      <c r="S583" s="1768"/>
      <c r="T583" s="1768"/>
      <c r="U583" s="1768"/>
      <c r="V583" s="1768"/>
      <c r="W583" s="1768"/>
      <c r="X583" s="1767"/>
      <c r="Y583" s="1825"/>
      <c r="Z583" s="1738"/>
      <c r="AA583" s="1913"/>
      <c r="AB583" s="1794"/>
      <c r="AC583" s="1825"/>
      <c r="AD583" s="1738"/>
      <c r="AE583" s="1913"/>
      <c r="AF583" s="1794"/>
      <c r="AI583" s="1735" t="str">
        <f>"27:field232:" &amp; IF(I583="■",1,IF(M583="■",2,0))</f>
        <v>27:field232:0</v>
      </c>
    </row>
    <row r="584" spans="1:37" s="1735" customFormat="1" ht="18.75" hidden="1" customHeight="1">
      <c r="A584" s="1766"/>
      <c r="B584" s="1765"/>
      <c r="C584" s="1778"/>
      <c r="D584" s="1776" t="s">
        <v>194</v>
      </c>
      <c r="E584" s="1762" t="s">
        <v>1654</v>
      </c>
      <c r="F584" s="1761"/>
      <c r="G584" s="1793"/>
      <c r="H584" s="1863" t="s">
        <v>1653</v>
      </c>
      <c r="I584" s="1773" t="s">
        <v>194</v>
      </c>
      <c r="J584" s="1754" t="s">
        <v>750</v>
      </c>
      <c r="K584" s="1754"/>
      <c r="L584" s="1772" t="s">
        <v>194</v>
      </c>
      <c r="M584" s="1754" t="s">
        <v>1122</v>
      </c>
      <c r="N584" s="1754"/>
      <c r="O584" s="1772" t="s">
        <v>194</v>
      </c>
      <c r="P584" s="1754" t="s">
        <v>1652</v>
      </c>
      <c r="Q584" s="1754"/>
      <c r="R584" s="1754"/>
      <c r="S584" s="1754"/>
      <c r="T584" s="1754"/>
      <c r="U584" s="1754"/>
      <c r="V584" s="1789"/>
      <c r="W584" s="1789"/>
      <c r="X584" s="1918"/>
      <c r="Y584" s="1914"/>
      <c r="Z584" s="1913"/>
      <c r="AA584" s="1913"/>
      <c r="AB584" s="1794"/>
      <c r="AC584" s="1914"/>
      <c r="AD584" s="1913"/>
      <c r="AE584" s="1913"/>
      <c r="AF584" s="1794"/>
      <c r="AI584" s="1735" t="str">
        <f>"27:yakankango_code:" &amp; IF(I584="■",1,IF(L584="■",3,IF(O584="■",2,0)))</f>
        <v>27:yakankango_code:0</v>
      </c>
    </row>
    <row r="585" spans="1:37" s="1735" customFormat="1" ht="18.75" hidden="1" customHeight="1">
      <c r="A585" s="1776" t="s">
        <v>194</v>
      </c>
      <c r="B585" s="1765">
        <v>27</v>
      </c>
      <c r="C585" s="1778" t="s">
        <v>272</v>
      </c>
      <c r="D585" s="1776" t="s">
        <v>194</v>
      </c>
      <c r="E585" s="1762" t="s">
        <v>1651</v>
      </c>
      <c r="F585" s="1761"/>
      <c r="G585" s="1793"/>
      <c r="H585" s="1863" t="s">
        <v>1650</v>
      </c>
      <c r="I585" s="1773" t="s">
        <v>194</v>
      </c>
      <c r="J585" s="1754" t="s">
        <v>750</v>
      </c>
      <c r="K585" s="1789"/>
      <c r="L585" s="1772" t="s">
        <v>194</v>
      </c>
      <c r="M585" s="1754" t="s">
        <v>764</v>
      </c>
      <c r="N585" s="1754"/>
      <c r="O585" s="1789"/>
      <c r="P585" s="1789"/>
      <c r="Q585" s="1789"/>
      <c r="R585" s="1789"/>
      <c r="S585" s="1789"/>
      <c r="T585" s="1789"/>
      <c r="U585" s="1789"/>
      <c r="V585" s="1789"/>
      <c r="W585" s="1789"/>
      <c r="X585" s="1918"/>
      <c r="Y585" s="1914"/>
      <c r="Z585" s="1913"/>
      <c r="AA585" s="1913"/>
      <c r="AB585" s="1794"/>
      <c r="AC585" s="1914"/>
      <c r="AD585" s="1913"/>
      <c r="AE585" s="1913"/>
      <c r="AF585" s="1794"/>
      <c r="AI585" s="1735" t="str">
        <f>"27:jyakuninti_uke_code:" &amp; IF(I585="■",1,IF(L585="■",2,0))</f>
        <v>27:jyakuninti_uke_code:0</v>
      </c>
    </row>
    <row r="586" spans="1:37" s="1735" customFormat="1" ht="18.75" hidden="1" customHeight="1">
      <c r="A586" s="1766"/>
      <c r="B586" s="1765"/>
      <c r="C586" s="1778" t="s">
        <v>1649</v>
      </c>
      <c r="D586" s="1776" t="s">
        <v>194</v>
      </c>
      <c r="E586" s="1762" t="s">
        <v>1648</v>
      </c>
      <c r="F586" s="1761"/>
      <c r="G586" s="1762"/>
      <c r="H586" s="1769" t="s">
        <v>1124</v>
      </c>
      <c r="I586" s="1773" t="s">
        <v>194</v>
      </c>
      <c r="J586" s="1754" t="s">
        <v>750</v>
      </c>
      <c r="K586" s="1754"/>
      <c r="L586" s="1772" t="s">
        <v>194</v>
      </c>
      <c r="M586" s="1756" t="s">
        <v>764</v>
      </c>
      <c r="N586" s="1754"/>
      <c r="O586" s="1754"/>
      <c r="P586" s="1754"/>
      <c r="Q586" s="1789"/>
      <c r="R586" s="1789"/>
      <c r="S586" s="1789"/>
      <c r="T586" s="1789"/>
      <c r="U586" s="1789"/>
      <c r="V586" s="1789"/>
      <c r="W586" s="1789"/>
      <c r="X586" s="1918"/>
      <c r="Y586" s="1914"/>
      <c r="Z586" s="1913"/>
      <c r="AA586" s="1913"/>
      <c r="AB586" s="1794"/>
      <c r="AC586" s="1914"/>
      <c r="AD586" s="1913"/>
      <c r="AE586" s="1913"/>
      <c r="AF586" s="1794"/>
      <c r="AI586" s="1735" t="str">
        <f>"27:field226:" &amp; IF(I586="■",1,IF(L586="■",2,0))</f>
        <v>27:field226:0</v>
      </c>
    </row>
    <row r="587" spans="1:37" s="1735" customFormat="1" ht="18.75" hidden="1" customHeight="1">
      <c r="A587" s="1766"/>
      <c r="B587" s="1765"/>
      <c r="C587" s="1778"/>
      <c r="D587" s="1776" t="s">
        <v>194</v>
      </c>
      <c r="E587" s="1762" t="s">
        <v>1647</v>
      </c>
      <c r="F587" s="1761"/>
      <c r="G587" s="1762"/>
      <c r="H587" s="1769" t="s">
        <v>1125</v>
      </c>
      <c r="I587" s="1773" t="s">
        <v>194</v>
      </c>
      <c r="J587" s="1754" t="s">
        <v>750</v>
      </c>
      <c r="K587" s="1754"/>
      <c r="L587" s="1772" t="s">
        <v>194</v>
      </c>
      <c r="M587" s="1756" t="s">
        <v>764</v>
      </c>
      <c r="N587" s="1754"/>
      <c r="O587" s="1754"/>
      <c r="P587" s="1754"/>
      <c r="Q587" s="1789"/>
      <c r="R587" s="1789"/>
      <c r="S587" s="1789"/>
      <c r="T587" s="1789"/>
      <c r="U587" s="1789"/>
      <c r="V587" s="1789"/>
      <c r="W587" s="1789"/>
      <c r="X587" s="1918"/>
      <c r="Y587" s="1914"/>
      <c r="Z587" s="1913"/>
      <c r="AA587" s="1913"/>
      <c r="AB587" s="1794"/>
      <c r="AC587" s="1914"/>
      <c r="AD587" s="1913"/>
      <c r="AE587" s="1913"/>
      <c r="AF587" s="1794"/>
      <c r="AI587" s="1735" t="str">
        <f>"27:field227:" &amp; IF(I587="■",1,IF(L587="■",2,0))</f>
        <v>27:field227:0</v>
      </c>
    </row>
    <row r="588" spans="1:37" s="1735" customFormat="1" ht="18.75" hidden="1" customHeight="1">
      <c r="A588" s="1766"/>
      <c r="B588" s="1765"/>
      <c r="C588" s="1778"/>
      <c r="D588" s="1915"/>
      <c r="E588" s="1762"/>
      <c r="F588" s="1761"/>
      <c r="G588" s="1793"/>
      <c r="H588" s="1917" t="s">
        <v>794</v>
      </c>
      <c r="I588" s="1773" t="s">
        <v>194</v>
      </c>
      <c r="J588" s="1754" t="s">
        <v>750</v>
      </c>
      <c r="K588" s="1754"/>
      <c r="L588" s="1772" t="s">
        <v>194</v>
      </c>
      <c r="M588" s="1754" t="s">
        <v>784</v>
      </c>
      <c r="N588" s="1754"/>
      <c r="O588" s="1772" t="s">
        <v>194</v>
      </c>
      <c r="P588" s="1754" t="s">
        <v>785</v>
      </c>
      <c r="Q588" s="1768"/>
      <c r="R588" s="1768"/>
      <c r="S588" s="1768"/>
      <c r="T588" s="1768"/>
      <c r="U588" s="1829"/>
      <c r="V588" s="1829"/>
      <c r="W588" s="1829"/>
      <c r="X588" s="1828"/>
      <c r="Y588" s="1914"/>
      <c r="Z588" s="1913"/>
      <c r="AA588" s="1913"/>
      <c r="AB588" s="1794"/>
      <c r="AC588" s="1914"/>
      <c r="AD588" s="1913"/>
      <c r="AE588" s="1913"/>
      <c r="AF588" s="1794"/>
      <c r="AI588" s="1735" t="str">
        <f>"27:field225:" &amp; IF(I588="■",1,IF(L588="■",2,IF(O588="■",3,0)))</f>
        <v>27:field225:0</v>
      </c>
    </row>
    <row r="589" spans="1:37" s="1735" customFormat="1" ht="18.75" hidden="1" customHeight="1">
      <c r="A589" s="1766"/>
      <c r="B589" s="1765"/>
      <c r="C589" s="1778"/>
      <c r="D589" s="1915"/>
      <c r="E589" s="1762"/>
      <c r="F589" s="1761"/>
      <c r="G589" s="1793"/>
      <c r="H589" s="1777" t="s">
        <v>1646</v>
      </c>
      <c r="I589" s="1773" t="s">
        <v>194</v>
      </c>
      <c r="J589" s="1754" t="s">
        <v>750</v>
      </c>
      <c r="K589" s="1754"/>
      <c r="L589" s="1772" t="s">
        <v>194</v>
      </c>
      <c r="M589" s="1754" t="s">
        <v>796</v>
      </c>
      <c r="N589" s="1754"/>
      <c r="O589" s="1772" t="s">
        <v>194</v>
      </c>
      <c r="P589" s="1754" t="s">
        <v>774</v>
      </c>
      <c r="Q589" s="1771"/>
      <c r="R589" s="1772" t="s">
        <v>194</v>
      </c>
      <c r="S589" s="1754" t="s">
        <v>798</v>
      </c>
      <c r="T589" s="1754"/>
      <c r="U589" s="1754"/>
      <c r="V589" s="1754"/>
      <c r="W589" s="1754"/>
      <c r="X589" s="1753"/>
      <c r="Y589" s="1914"/>
      <c r="Z589" s="1913"/>
      <c r="AA589" s="1913"/>
      <c r="AB589" s="1794"/>
      <c r="AC589" s="1914"/>
      <c r="AD589" s="1913"/>
      <c r="AE589" s="1913"/>
      <c r="AF589" s="1794"/>
      <c r="AI589" s="1735" t="str">
        <f>"27:serteikyo_kyoka_code:" &amp; IF(I589="■",1,IF(L589="■",6,IF(O589="■",2,IF(R589="■",7,0))))</f>
        <v>27:serteikyo_kyoka_code:0</v>
      </c>
    </row>
    <row r="590" spans="1:37" s="1735" customFormat="1" ht="18.75" hidden="1" customHeight="1">
      <c r="A590" s="1752"/>
      <c r="B590" s="1751"/>
      <c r="C590" s="1999"/>
      <c r="D590" s="1749"/>
      <c r="E590" s="1748"/>
      <c r="F590" s="1747"/>
      <c r="G590" s="1808"/>
      <c r="H590" s="1909" t="s">
        <v>1553</v>
      </c>
      <c r="I590" s="1744" t="s">
        <v>194</v>
      </c>
      <c r="J590" s="1905" t="s">
        <v>750</v>
      </c>
      <c r="K590" s="1905"/>
      <c r="L590" s="1743" t="s">
        <v>194</v>
      </c>
      <c r="M590" s="1905" t="s">
        <v>1552</v>
      </c>
      <c r="N590" s="1908"/>
      <c r="O590" s="1743" t="s">
        <v>194</v>
      </c>
      <c r="P590" s="1907" t="s">
        <v>1551</v>
      </c>
      <c r="Q590" s="1906"/>
      <c r="R590" s="1743" t="s">
        <v>194</v>
      </c>
      <c r="S590" s="1905" t="s">
        <v>1550</v>
      </c>
      <c r="T590" s="1906"/>
      <c r="U590" s="1743" t="s">
        <v>194</v>
      </c>
      <c r="V590" s="1905" t="s">
        <v>1549</v>
      </c>
      <c r="W590" s="1904"/>
      <c r="X590" s="1903"/>
      <c r="Y590" s="1902"/>
      <c r="Z590" s="1902"/>
      <c r="AA590" s="1902"/>
      <c r="AB590" s="1901"/>
      <c r="AC590" s="1961"/>
      <c r="AD590" s="1902"/>
      <c r="AE590" s="1902"/>
      <c r="AF590" s="1901"/>
      <c r="AI590" s="1735" t="str">
        <f>"27:shoguukaizen_code:"&amp;IF(I590="■",1,IF(L590="■",7,IF(O590="■",8,IF(R590="■",9,IF(U590="■","A",0)))))</f>
        <v>27:shoguukaizen_code:0</v>
      </c>
    </row>
    <row r="591" spans="1:37" s="1735" customFormat="1" ht="19.5" hidden="1" customHeight="1">
      <c r="A591" s="1766"/>
      <c r="B591" s="1765"/>
      <c r="C591" s="1764"/>
      <c r="D591" s="1763"/>
      <c r="E591" s="1762"/>
      <c r="F591" s="1761"/>
      <c r="G591" s="1793"/>
      <c r="H591" s="1998" t="s">
        <v>762</v>
      </c>
      <c r="I591" s="1997" t="s">
        <v>194</v>
      </c>
      <c r="J591" s="1993" t="s">
        <v>758</v>
      </c>
      <c r="K591" s="1996"/>
      <c r="L591" s="1995"/>
      <c r="M591" s="1994" t="s">
        <v>194</v>
      </c>
      <c r="N591" s="1993" t="s">
        <v>761</v>
      </c>
      <c r="O591" s="1992"/>
      <c r="P591" s="1991"/>
      <c r="Q591" s="1990"/>
      <c r="R591" s="1990"/>
      <c r="S591" s="1990"/>
      <c r="T591" s="1990"/>
      <c r="U591" s="1990"/>
      <c r="V591" s="1990"/>
      <c r="W591" s="1990"/>
      <c r="X591" s="1989"/>
      <c r="Y591" s="1776" t="s">
        <v>194</v>
      </c>
      <c r="Z591" s="1738" t="s">
        <v>749</v>
      </c>
      <c r="AA591" s="1913"/>
      <c r="AB591" s="1794"/>
      <c r="AC591" s="1988"/>
      <c r="AD591" s="1985"/>
      <c r="AE591" s="1985"/>
      <c r="AF591" s="1984"/>
      <c r="AG591" s="1735" t="str">
        <f>"ser_code = '" &amp; IF(A593="■",17,"") &amp; "'"</f>
        <v>ser_code = ''</v>
      </c>
      <c r="AI591" s="1735" t="str">
        <f>"17:field232:" &amp; IF(I591="■",1,IF(M591="■",2,0))</f>
        <v>17:field232:0</v>
      </c>
      <c r="AJ591" s="1735" t="str">
        <f>"17:field203:" &amp; IF(Y591="■",1,IF(Y592="■",2,0))</f>
        <v>17:field203:0</v>
      </c>
    </row>
    <row r="592" spans="1:37" s="1735" customFormat="1" ht="18.75" hidden="1" customHeight="1">
      <c r="A592" s="1766"/>
      <c r="B592" s="1765"/>
      <c r="C592" s="1764"/>
      <c r="D592" s="1763"/>
      <c r="E592" s="1762"/>
      <c r="F592" s="1761"/>
      <c r="G592" s="1793"/>
      <c r="H592" s="1833" t="s">
        <v>1645</v>
      </c>
      <c r="I592" s="1758" t="s">
        <v>194</v>
      </c>
      <c r="J592" s="1756" t="s">
        <v>750</v>
      </c>
      <c r="K592" s="1755"/>
      <c r="L592" s="1757" t="s">
        <v>194</v>
      </c>
      <c r="M592" s="1756" t="s">
        <v>764</v>
      </c>
      <c r="N592" s="1755"/>
      <c r="O592" s="1755"/>
      <c r="P592" s="1755"/>
      <c r="Q592" s="1755"/>
      <c r="R592" s="1755"/>
      <c r="S592" s="1755"/>
      <c r="T592" s="1755"/>
      <c r="U592" s="1755"/>
      <c r="V592" s="1755"/>
      <c r="W592" s="1755"/>
      <c r="X592" s="1832"/>
      <c r="Y592" s="1776" t="s">
        <v>194</v>
      </c>
      <c r="Z592" s="1738" t="s">
        <v>754</v>
      </c>
      <c r="AA592" s="1738"/>
      <c r="AB592" s="1794"/>
      <c r="AC592" s="1986"/>
      <c r="AD592" s="1985"/>
      <c r="AE592" s="1985"/>
      <c r="AF592" s="1984"/>
      <c r="AI592" s="1735" t="str">
        <f>"17:tokutiiki_code:" &amp; IF(I592="■",1,IF(L592="■",2,0))</f>
        <v>17:tokutiiki_code:0</v>
      </c>
    </row>
    <row r="593" spans="1:37" s="1735" customFormat="1" ht="18.75" hidden="1" customHeight="1">
      <c r="A593" s="1776" t="s">
        <v>194</v>
      </c>
      <c r="B593" s="1765">
        <v>17</v>
      </c>
      <c r="C593" s="1764" t="s">
        <v>5</v>
      </c>
      <c r="D593" s="1763"/>
      <c r="E593" s="1762"/>
      <c r="F593" s="1761"/>
      <c r="G593" s="1793"/>
      <c r="H593" s="1788" t="s">
        <v>1528</v>
      </c>
      <c r="I593" s="1831" t="s">
        <v>194</v>
      </c>
      <c r="J593" s="1830" t="s">
        <v>1523</v>
      </c>
      <c r="K593" s="1830"/>
      <c r="L593" s="1830"/>
      <c r="M593" s="1831" t="s">
        <v>194</v>
      </c>
      <c r="N593" s="1830" t="s">
        <v>1522</v>
      </c>
      <c r="O593" s="1830"/>
      <c r="P593" s="1830"/>
      <c r="Q593" s="1829"/>
      <c r="R593" s="1829"/>
      <c r="S593" s="1829"/>
      <c r="T593" s="1829"/>
      <c r="U593" s="1829"/>
      <c r="V593" s="1829"/>
      <c r="W593" s="1829"/>
      <c r="X593" s="1828"/>
      <c r="Y593" s="1914"/>
      <c r="Z593" s="1738"/>
      <c r="AA593" s="1913"/>
      <c r="AB593" s="1794"/>
      <c r="AC593" s="1986"/>
      <c r="AD593" s="1985"/>
      <c r="AE593" s="1985"/>
      <c r="AF593" s="1984"/>
      <c r="AI593" s="1735" t="str">
        <f>"17:chuusankanti_tiiki_code:" &amp; IF(I593="■",1,IF(M593="■",2,0))</f>
        <v>17:chuusankanti_tiiki_code:0</v>
      </c>
    </row>
    <row r="594" spans="1:37" s="1735" customFormat="1" ht="18.75" hidden="1" customHeight="1">
      <c r="A594" s="1766"/>
      <c r="B594" s="1765"/>
      <c r="C594" s="1764"/>
      <c r="D594" s="1763"/>
      <c r="E594" s="1762"/>
      <c r="F594" s="1761"/>
      <c r="G594" s="1793"/>
      <c r="H594" s="1783"/>
      <c r="I594" s="1782"/>
      <c r="J594" s="1781"/>
      <c r="K594" s="1781"/>
      <c r="L594" s="1781"/>
      <c r="M594" s="1782"/>
      <c r="N594" s="1781"/>
      <c r="O594" s="1781"/>
      <c r="P594" s="1781"/>
      <c r="Q594" s="1755"/>
      <c r="R594" s="1755"/>
      <c r="S594" s="1755"/>
      <c r="T594" s="1755"/>
      <c r="U594" s="1755"/>
      <c r="V594" s="1755"/>
      <c r="W594" s="1755"/>
      <c r="X594" s="1832"/>
      <c r="Y594" s="1914"/>
      <c r="Z594" s="1913"/>
      <c r="AA594" s="1913"/>
      <c r="AB594" s="1794"/>
      <c r="AC594" s="1986"/>
      <c r="AD594" s="1985"/>
      <c r="AE594" s="1985"/>
      <c r="AF594" s="1984"/>
    </row>
    <row r="595" spans="1:37" s="1735" customFormat="1" ht="18.75" hidden="1" customHeight="1">
      <c r="A595" s="1766"/>
      <c r="B595" s="1765"/>
      <c r="C595" s="1764"/>
      <c r="D595" s="1763"/>
      <c r="E595" s="1762"/>
      <c r="F595" s="1761"/>
      <c r="G595" s="1793"/>
      <c r="H595" s="1788" t="s">
        <v>1524</v>
      </c>
      <c r="I595" s="1987" t="s">
        <v>194</v>
      </c>
      <c r="J595" s="1830" t="s">
        <v>1523</v>
      </c>
      <c r="K595" s="1830"/>
      <c r="L595" s="1830"/>
      <c r="M595" s="1831" t="s">
        <v>194</v>
      </c>
      <c r="N595" s="1830" t="s">
        <v>1522</v>
      </c>
      <c r="O595" s="1830"/>
      <c r="P595" s="1830"/>
      <c r="Q595" s="1829"/>
      <c r="R595" s="1829"/>
      <c r="S595" s="1829"/>
      <c r="T595" s="1829"/>
      <c r="U595" s="1829"/>
      <c r="V595" s="1829"/>
      <c r="W595" s="1829"/>
      <c r="X595" s="1828"/>
      <c r="Y595" s="1914"/>
      <c r="Z595" s="1913"/>
      <c r="AA595" s="1913"/>
      <c r="AB595" s="1794"/>
      <c r="AC595" s="1986"/>
      <c r="AD595" s="1985"/>
      <c r="AE595" s="1985"/>
      <c r="AF595" s="1984"/>
      <c r="AI595" s="1735" t="str">
        <f>"17:chuusankanti_kibo_code:" &amp; IF(I595="■",1,IF(M595="■",2,0))</f>
        <v>17:chuusankanti_kibo_code:0</v>
      </c>
    </row>
    <row r="596" spans="1:37" s="1735" customFormat="1" ht="18.75" hidden="1" customHeight="1">
      <c r="A596" s="1752"/>
      <c r="B596" s="1751"/>
      <c r="C596" s="1750"/>
      <c r="D596" s="1749"/>
      <c r="E596" s="1748"/>
      <c r="F596" s="1747"/>
      <c r="G596" s="1808"/>
      <c r="H596" s="1983"/>
      <c r="I596" s="1982"/>
      <c r="J596" s="1966"/>
      <c r="K596" s="1966"/>
      <c r="L596" s="1966"/>
      <c r="M596" s="1981"/>
      <c r="N596" s="1966"/>
      <c r="O596" s="1966"/>
      <c r="P596" s="1966"/>
      <c r="Q596" s="1810"/>
      <c r="R596" s="1810"/>
      <c r="S596" s="1810"/>
      <c r="T596" s="1810"/>
      <c r="U596" s="1810"/>
      <c r="V596" s="1810"/>
      <c r="W596" s="1810"/>
      <c r="X596" s="1746"/>
      <c r="Y596" s="1961"/>
      <c r="Z596" s="1902"/>
      <c r="AA596" s="1902"/>
      <c r="AB596" s="1901"/>
      <c r="AC596" s="1980"/>
      <c r="AD596" s="1979"/>
      <c r="AE596" s="1979"/>
      <c r="AF596" s="1978"/>
    </row>
    <row r="597" spans="1:37" s="1735" customFormat="1" ht="18.75" hidden="1" customHeight="1">
      <c r="A597" s="1807"/>
      <c r="B597" s="1806"/>
      <c r="C597" s="1849"/>
      <c r="D597" s="1848"/>
      <c r="E597" s="1804"/>
      <c r="F597" s="1977"/>
      <c r="G597" s="1802"/>
      <c r="H597" s="1976" t="s">
        <v>1644</v>
      </c>
      <c r="I597" s="1975" t="s">
        <v>194</v>
      </c>
      <c r="J597" s="1973" t="s">
        <v>750</v>
      </c>
      <c r="K597" s="1973"/>
      <c r="L597" s="1974" t="s">
        <v>194</v>
      </c>
      <c r="M597" s="1973" t="s">
        <v>764</v>
      </c>
      <c r="N597" s="1973"/>
      <c r="O597" s="1973"/>
      <c r="P597" s="1932"/>
      <c r="Q597" s="1932"/>
      <c r="R597" s="1932"/>
      <c r="S597" s="1932"/>
      <c r="T597" s="1932"/>
      <c r="U597" s="1932"/>
      <c r="V597" s="1932"/>
      <c r="W597" s="1932"/>
      <c r="X597" s="1972"/>
      <c r="Y597" s="1873" t="s">
        <v>194</v>
      </c>
      <c r="Z597" s="1872" t="s">
        <v>749</v>
      </c>
      <c r="AA597" s="1872"/>
      <c r="AB597" s="1929"/>
      <c r="AC597" s="1959"/>
      <c r="AD597" s="1959"/>
      <c r="AE597" s="1959"/>
      <c r="AF597" s="1959"/>
      <c r="AG597" s="1735" t="str">
        <f>"ser_code = '" &amp; IF(A602="■",43,"") &amp; "'"</f>
        <v>ser_code = ''</v>
      </c>
      <c r="AI597" s="1735" t="str">
        <f>"43:field213:" &amp; IF(I597="■",1,IF(L597="■",2,0))</f>
        <v>43:field213:0</v>
      </c>
      <c r="AJ597" s="1735" t="str">
        <f>"43:field203:" &amp; IF(Y597="■",1,IF(Y598="■",2,0))</f>
        <v>43:field203:0</v>
      </c>
    </row>
    <row r="598" spans="1:37" s="1735" customFormat="1" ht="18.75" hidden="1" customHeight="1">
      <c r="A598" s="1766"/>
      <c r="B598" s="1765"/>
      <c r="C598" s="1764"/>
      <c r="D598" s="1763"/>
      <c r="E598" s="1762"/>
      <c r="F598" s="1965"/>
      <c r="G598" s="1793"/>
      <c r="H598" s="1822"/>
      <c r="I598" s="1821"/>
      <c r="J598" s="1786"/>
      <c r="K598" s="1786"/>
      <c r="L598" s="1820"/>
      <c r="M598" s="1786"/>
      <c r="N598" s="1786"/>
      <c r="O598" s="1786"/>
      <c r="P598" s="1971"/>
      <c r="Q598" s="1971"/>
      <c r="R598" s="1971"/>
      <c r="S598" s="1971"/>
      <c r="T598" s="1971"/>
      <c r="U598" s="1971"/>
      <c r="V598" s="1971"/>
      <c r="W598" s="1971"/>
      <c r="X598" s="1760"/>
      <c r="Y598" s="1776" t="s">
        <v>194</v>
      </c>
      <c r="Z598" s="1738" t="s">
        <v>754</v>
      </c>
      <c r="AA598" s="1738"/>
      <c r="AB598" s="1794"/>
      <c r="AC598" s="1970"/>
      <c r="AD598" s="1970"/>
      <c r="AE598" s="1970"/>
      <c r="AF598" s="1970"/>
    </row>
    <row r="599" spans="1:37" s="1735" customFormat="1" ht="18.75" hidden="1" customHeight="1">
      <c r="A599" s="1766"/>
      <c r="B599" s="1765"/>
      <c r="C599" s="1764"/>
      <c r="D599" s="1763"/>
      <c r="E599" s="1762"/>
      <c r="F599" s="1965"/>
      <c r="G599" s="1760"/>
      <c r="H599" s="1769" t="s">
        <v>1529</v>
      </c>
      <c r="I599" s="1773" t="s">
        <v>194</v>
      </c>
      <c r="J599" s="1754" t="s">
        <v>750</v>
      </c>
      <c r="K599" s="1789"/>
      <c r="L599" s="1772" t="s">
        <v>194</v>
      </c>
      <c r="M599" s="1754" t="s">
        <v>764</v>
      </c>
      <c r="N599" s="1789"/>
      <c r="O599" s="1789"/>
      <c r="P599" s="1789"/>
      <c r="Q599" s="1789"/>
      <c r="R599" s="1789"/>
      <c r="S599" s="1789"/>
      <c r="T599" s="1789"/>
      <c r="U599" s="1789"/>
      <c r="V599" s="1789"/>
      <c r="W599" s="1789"/>
      <c r="X599" s="1918"/>
      <c r="Y599" s="1913"/>
      <c r="Z599" s="1738"/>
      <c r="AA599" s="1913"/>
      <c r="AB599" s="1794"/>
      <c r="AC599" s="1954"/>
      <c r="AD599" s="1954"/>
      <c r="AE599" s="1954"/>
      <c r="AF599" s="1954"/>
      <c r="AI599" s="1735" t="str">
        <f>"43:tokutiiki_code:" &amp; IF(I599="■",1,IF(L599="■",2,0))</f>
        <v>43:tokutiiki_code:0</v>
      </c>
    </row>
    <row r="600" spans="1:37" s="1735" customFormat="1" ht="18.75" hidden="1" customHeight="1">
      <c r="A600" s="1766"/>
      <c r="B600" s="1765"/>
      <c r="C600" s="1764"/>
      <c r="D600" s="1763"/>
      <c r="E600" s="1762"/>
      <c r="F600" s="1965"/>
      <c r="G600" s="1760"/>
      <c r="H600" s="1788" t="s">
        <v>1528</v>
      </c>
      <c r="I600" s="1831" t="s">
        <v>194</v>
      </c>
      <c r="J600" s="1830" t="s">
        <v>1523</v>
      </c>
      <c r="K600" s="1830"/>
      <c r="L600" s="1830"/>
      <c r="M600" s="1831" t="s">
        <v>194</v>
      </c>
      <c r="N600" s="1830" t="s">
        <v>1522</v>
      </c>
      <c r="O600" s="1830"/>
      <c r="P600" s="1830"/>
      <c r="Q600" s="1829"/>
      <c r="R600" s="1829"/>
      <c r="S600" s="1829"/>
      <c r="T600" s="1829"/>
      <c r="U600" s="1829"/>
      <c r="V600" s="1829"/>
      <c r="W600" s="1829"/>
      <c r="X600" s="1828"/>
      <c r="Y600" s="1913"/>
      <c r="Z600" s="1738"/>
      <c r="AA600" s="1913"/>
      <c r="AB600" s="1794"/>
      <c r="AC600" s="1954"/>
      <c r="AD600" s="1954"/>
      <c r="AE600" s="1954"/>
      <c r="AF600" s="1954"/>
      <c r="AI600" s="1735" t="str">
        <f>"43:chuusankanti_tiiki_code:" &amp; IF(I600="■",1,IF(M600="■",2,0))</f>
        <v>43:chuusankanti_tiiki_code:0</v>
      </c>
    </row>
    <row r="601" spans="1:37" s="1735" customFormat="1" ht="18.75" hidden="1" customHeight="1">
      <c r="A601" s="1766"/>
      <c r="B601" s="1765"/>
      <c r="C601" s="1764"/>
      <c r="D601" s="1763"/>
      <c r="E601" s="1762"/>
      <c r="F601" s="1965"/>
      <c r="G601" s="1760"/>
      <c r="H601" s="1783"/>
      <c r="I601" s="1782"/>
      <c r="J601" s="1781"/>
      <c r="K601" s="1781"/>
      <c r="L601" s="1781"/>
      <c r="M601" s="1782"/>
      <c r="N601" s="1781"/>
      <c r="O601" s="1781"/>
      <c r="P601" s="1781"/>
      <c r="Q601" s="1755"/>
      <c r="R601" s="1755"/>
      <c r="S601" s="1755"/>
      <c r="T601" s="1755"/>
      <c r="U601" s="1755"/>
      <c r="V601" s="1755"/>
      <c r="W601" s="1755"/>
      <c r="X601" s="1832"/>
      <c r="Y601" s="1914"/>
      <c r="Z601" s="1913"/>
      <c r="AA601" s="1913"/>
      <c r="AB601" s="1794"/>
      <c r="AC601" s="1954"/>
      <c r="AD601" s="1954"/>
      <c r="AE601" s="1954"/>
      <c r="AF601" s="1954"/>
    </row>
    <row r="602" spans="1:37" s="1735" customFormat="1" ht="18.75" hidden="1" customHeight="1">
      <c r="A602" s="1776" t="s">
        <v>194</v>
      </c>
      <c r="B602" s="1765">
        <v>43</v>
      </c>
      <c r="C602" s="1764" t="s">
        <v>1643</v>
      </c>
      <c r="D602" s="1763"/>
      <c r="E602" s="1762"/>
      <c r="F602" s="1965"/>
      <c r="G602" s="1760"/>
      <c r="H602" s="1788" t="s">
        <v>1524</v>
      </c>
      <c r="I602" s="1969" t="s">
        <v>194</v>
      </c>
      <c r="J602" s="1968" t="s">
        <v>1523</v>
      </c>
      <c r="K602" s="1968"/>
      <c r="L602" s="1968"/>
      <c r="M602" s="1967" t="s">
        <v>194</v>
      </c>
      <c r="N602" s="1830" t="s">
        <v>1522</v>
      </c>
      <c r="O602" s="1830"/>
      <c r="P602" s="1830"/>
      <c r="Q602" s="1829"/>
      <c r="R602" s="1829"/>
      <c r="S602" s="1829"/>
      <c r="T602" s="1829"/>
      <c r="U602" s="1829"/>
      <c r="V602" s="1829"/>
      <c r="W602" s="1829"/>
      <c r="X602" s="1828"/>
      <c r="Y602" s="1914"/>
      <c r="Z602" s="1913"/>
      <c r="AA602" s="1913"/>
      <c r="AB602" s="1794"/>
      <c r="AC602" s="1954"/>
      <c r="AD602" s="1954"/>
      <c r="AE602" s="1954"/>
      <c r="AF602" s="1954"/>
      <c r="AI602" s="1735" t="str">
        <f>"43:chuusankanti_kibo_code:" &amp; IF(I602="■",1,IF(M602="■",2,0))</f>
        <v>43:chuusankanti_kibo_code:0</v>
      </c>
    </row>
    <row r="603" spans="1:37" s="1735" customFormat="1" ht="18.75" hidden="1" customHeight="1">
      <c r="A603" s="1766"/>
      <c r="B603" s="1765"/>
      <c r="C603" s="1764"/>
      <c r="D603" s="1763"/>
      <c r="E603" s="1762"/>
      <c r="F603" s="1965"/>
      <c r="G603" s="1760"/>
      <c r="H603" s="1783"/>
      <c r="I603" s="1969"/>
      <c r="J603" s="1968"/>
      <c r="K603" s="1968"/>
      <c r="L603" s="1968"/>
      <c r="M603" s="1967"/>
      <c r="N603" s="1966"/>
      <c r="O603" s="1966"/>
      <c r="P603" s="1966"/>
      <c r="Q603" s="1755"/>
      <c r="R603" s="1755"/>
      <c r="S603" s="1755"/>
      <c r="T603" s="1755"/>
      <c r="U603" s="1755"/>
      <c r="V603" s="1755"/>
      <c r="W603" s="1755"/>
      <c r="X603" s="1832"/>
      <c r="Y603" s="1914"/>
      <c r="Z603" s="1913"/>
      <c r="AA603" s="1913"/>
      <c r="AB603" s="1794"/>
      <c r="AC603" s="1954"/>
      <c r="AD603" s="1954"/>
      <c r="AE603" s="1954"/>
      <c r="AF603" s="1954"/>
    </row>
    <row r="604" spans="1:37" s="1735" customFormat="1" ht="18.75" hidden="1" customHeight="1">
      <c r="A604" s="1766"/>
      <c r="B604" s="1765"/>
      <c r="C604" s="1764"/>
      <c r="D604" s="1763"/>
      <c r="E604" s="1762"/>
      <c r="F604" s="1965"/>
      <c r="G604" s="1760"/>
      <c r="H604" s="1769" t="s">
        <v>1642</v>
      </c>
      <c r="I604" s="1773" t="s">
        <v>194</v>
      </c>
      <c r="J604" s="1754" t="s">
        <v>750</v>
      </c>
      <c r="K604" s="1789"/>
      <c r="L604" s="1772" t="s">
        <v>194</v>
      </c>
      <c r="M604" s="1754" t="s">
        <v>764</v>
      </c>
      <c r="N604" s="1789"/>
      <c r="O604" s="1789"/>
      <c r="P604" s="1789"/>
      <c r="Q604" s="1789"/>
      <c r="R604" s="1789"/>
      <c r="S604" s="1789"/>
      <c r="T604" s="1789"/>
      <c r="U604" s="1789"/>
      <c r="V604" s="1789"/>
      <c r="W604" s="1789"/>
      <c r="X604" s="1918"/>
      <c r="Y604" s="1914"/>
      <c r="Z604" s="1913"/>
      <c r="AA604" s="1913"/>
      <c r="AB604" s="1794"/>
      <c r="AC604" s="1954"/>
      <c r="AD604" s="1954"/>
      <c r="AE604" s="1954"/>
      <c r="AF604" s="1954"/>
      <c r="AI604" s="1735" t="str">
        <f>"43:field162:" &amp; IF(I604="■",1,IF(L604="■",2,0))</f>
        <v>43:field162:0</v>
      </c>
    </row>
    <row r="605" spans="1:37" s="1735" customFormat="1" ht="18.75" hidden="1" customHeight="1">
      <c r="A605" s="1766"/>
      <c r="B605" s="1765"/>
      <c r="C605" s="1764"/>
      <c r="D605" s="1763"/>
      <c r="E605" s="1762"/>
      <c r="F605" s="1965"/>
      <c r="G605" s="1760"/>
      <c r="H605" s="1769" t="s">
        <v>1641</v>
      </c>
      <c r="I605" s="1773" t="s">
        <v>194</v>
      </c>
      <c r="J605" s="1754" t="s">
        <v>750</v>
      </c>
      <c r="K605" s="1754"/>
      <c r="L605" s="1772" t="s">
        <v>194</v>
      </c>
      <c r="M605" s="1754" t="s">
        <v>784</v>
      </c>
      <c r="N605" s="1754"/>
      <c r="O605" s="1772" t="s">
        <v>194</v>
      </c>
      <c r="P605" s="1754" t="s">
        <v>785</v>
      </c>
      <c r="Q605" s="1771"/>
      <c r="R605" s="1772" t="s">
        <v>194</v>
      </c>
      <c r="S605" s="1754" t="s">
        <v>1640</v>
      </c>
      <c r="T605" s="1789"/>
      <c r="U605" s="1772" t="s">
        <v>194</v>
      </c>
      <c r="V605" s="1754" t="s">
        <v>1639</v>
      </c>
      <c r="W605" s="1789"/>
      <c r="X605" s="1918"/>
      <c r="Y605" s="1914"/>
      <c r="Z605" s="1913"/>
      <c r="AA605" s="1913"/>
      <c r="AB605" s="1794"/>
      <c r="AC605" s="1954"/>
      <c r="AD605" s="1954"/>
      <c r="AE605" s="1954"/>
      <c r="AF605" s="1954"/>
      <c r="AI605" s="1735" t="str">
        <f>"43:tokuseibi_code:" &amp; IF(I605="■",1,IF(L605="■",2,IF(O605="■",3,IF(R605="■",4,IF(U605="■",5,0)))))</f>
        <v>43:tokuseibi_code:0</v>
      </c>
    </row>
    <row r="606" spans="1:37" s="1735" customFormat="1" ht="18.75" hidden="1" customHeight="1">
      <c r="A606" s="1766"/>
      <c r="B606" s="1765"/>
      <c r="C606" s="1764"/>
      <c r="D606" s="1763"/>
      <c r="E606" s="1762"/>
      <c r="F606" s="1965"/>
      <c r="G606" s="1760"/>
      <c r="H606" s="1759" t="s">
        <v>1638</v>
      </c>
      <c r="I606" s="1773" t="s">
        <v>194</v>
      </c>
      <c r="J606" s="1754" t="s">
        <v>750</v>
      </c>
      <c r="K606" s="1789"/>
      <c r="L606" s="1772" t="s">
        <v>194</v>
      </c>
      <c r="M606" s="1754" t="s">
        <v>764</v>
      </c>
      <c r="N606" s="1789"/>
      <c r="O606" s="1789"/>
      <c r="P606" s="1789"/>
      <c r="Q606" s="1789"/>
      <c r="R606" s="1789"/>
      <c r="S606" s="1789"/>
      <c r="T606" s="1789"/>
      <c r="U606" s="1789"/>
      <c r="V606" s="1789"/>
      <c r="W606" s="1789"/>
      <c r="X606" s="1918"/>
      <c r="Y606" s="1914"/>
      <c r="Z606" s="1913"/>
      <c r="AA606" s="1913"/>
      <c r="AB606" s="1794"/>
      <c r="AC606" s="1954"/>
      <c r="AD606" s="1954"/>
      <c r="AE606" s="1954"/>
      <c r="AF606" s="1954"/>
      <c r="AI606" s="1735" t="str">
        <f>"43:field192:" &amp; IF(I606="■",1,IF(L606="■",2,0))</f>
        <v>43:field192:0</v>
      </c>
    </row>
    <row r="607" spans="1:37" s="1735" customFormat="1" ht="18.75" hidden="1" customHeight="1">
      <c r="A607" s="1752"/>
      <c r="B607" s="1751"/>
      <c r="C607" s="1750"/>
      <c r="D607" s="1749"/>
      <c r="E607" s="1748"/>
      <c r="F607" s="1964"/>
      <c r="G607" s="1746"/>
      <c r="H607" s="1963" t="s">
        <v>1637</v>
      </c>
      <c r="I607" s="1744" t="s">
        <v>194</v>
      </c>
      <c r="J607" s="1741" t="s">
        <v>750</v>
      </c>
      <c r="K607" s="1742"/>
      <c r="L607" s="1743" t="s">
        <v>194</v>
      </c>
      <c r="M607" s="1741" t="s">
        <v>764</v>
      </c>
      <c r="N607" s="1742"/>
      <c r="O607" s="1742"/>
      <c r="P607" s="1742"/>
      <c r="Q607" s="1742"/>
      <c r="R607" s="1742"/>
      <c r="S607" s="1742"/>
      <c r="T607" s="1742"/>
      <c r="U607" s="1742"/>
      <c r="V607" s="1742"/>
      <c r="W607" s="1742"/>
      <c r="X607" s="1962"/>
      <c r="Y607" s="1961"/>
      <c r="Z607" s="1902"/>
      <c r="AA607" s="1902"/>
      <c r="AB607" s="1901"/>
      <c r="AC607" s="1953"/>
      <c r="AD607" s="1953"/>
      <c r="AE607" s="1953"/>
      <c r="AF607" s="1953"/>
      <c r="AI607" s="1735" t="str">
        <f>"43:field166:" &amp; IF(I607="■",1,IF(L607="■",2,0))</f>
        <v>43:field166:0</v>
      </c>
    </row>
    <row r="608" spans="1:37" s="1735" customFormat="1" ht="18.75" customHeight="1">
      <c r="A608" s="1807"/>
      <c r="B608" s="1806"/>
      <c r="C608" s="1934"/>
      <c r="D608" s="1933"/>
      <c r="E608" s="1804"/>
      <c r="F608" s="1803"/>
      <c r="G608" s="1802"/>
      <c r="H608" s="1801" t="s">
        <v>746</v>
      </c>
      <c r="I608" s="1800" t="s">
        <v>194</v>
      </c>
      <c r="J608" s="1799" t="s">
        <v>747</v>
      </c>
      <c r="K608" s="1846"/>
      <c r="L608" s="1845"/>
      <c r="M608" s="1798" t="s">
        <v>194</v>
      </c>
      <c r="N608" s="1799" t="s">
        <v>748</v>
      </c>
      <c r="O608" s="1796"/>
      <c r="P608" s="1846"/>
      <c r="Q608" s="1846"/>
      <c r="R608" s="1846"/>
      <c r="S608" s="1846"/>
      <c r="T608" s="1846"/>
      <c r="U608" s="1846"/>
      <c r="V608" s="1846"/>
      <c r="W608" s="1846"/>
      <c r="X608" s="1960"/>
      <c r="Y608" s="1873" t="s">
        <v>194</v>
      </c>
      <c r="Z608" s="1872" t="s">
        <v>749</v>
      </c>
      <c r="AA608" s="1872"/>
      <c r="AB608" s="1929"/>
      <c r="AC608" s="1873" t="s">
        <v>194</v>
      </c>
      <c r="AD608" s="1872" t="s">
        <v>749</v>
      </c>
      <c r="AE608" s="1872"/>
      <c r="AF608" s="1929"/>
      <c r="AG608" s="1735" t="str">
        <f>"ser_code = '" &amp; IF(A624="■",51,"") &amp; "'"</f>
        <v>ser_code = ''</v>
      </c>
      <c r="AI608" s="1735" t="str">
        <f>"51:yakan_kinmu_code:" &amp; IF(I608="■",1,IF(M608="■",6,0))</f>
        <v>51:yakan_kinmu_code:0</v>
      </c>
      <c r="AJ608" s="1735" t="str">
        <f>"51:field203:" &amp; IF(Y608="■",1,IF(Y609="■",2,0))</f>
        <v>51:field203:0</v>
      </c>
      <c r="AK608" s="1735" t="str">
        <f>"51:waribiki_code:" &amp; IF(AC608="■",1,IF(AC609="■",2,0))</f>
        <v>51:waribiki_code:0</v>
      </c>
    </row>
    <row r="609" spans="1:35" s="1735" customFormat="1" ht="18.75" customHeight="1">
      <c r="A609" s="1766"/>
      <c r="B609" s="1765"/>
      <c r="C609" s="1916"/>
      <c r="D609" s="1915"/>
      <c r="E609" s="1762"/>
      <c r="F609" s="1761"/>
      <c r="G609" s="1793"/>
      <c r="H609" s="1769" t="s">
        <v>98</v>
      </c>
      <c r="I609" s="1773" t="s">
        <v>194</v>
      </c>
      <c r="J609" s="1754" t="s">
        <v>750</v>
      </c>
      <c r="K609" s="1754"/>
      <c r="L609" s="1772" t="s">
        <v>194</v>
      </c>
      <c r="M609" s="1754" t="s">
        <v>751</v>
      </c>
      <c r="N609" s="1754"/>
      <c r="O609" s="1754"/>
      <c r="P609" s="1772" t="s">
        <v>194</v>
      </c>
      <c r="Q609" s="1771" t="s">
        <v>752</v>
      </c>
      <c r="R609" s="1771"/>
      <c r="S609" s="1771"/>
      <c r="T609" s="1772" t="s">
        <v>194</v>
      </c>
      <c r="U609" s="1771" t="s">
        <v>753</v>
      </c>
      <c r="V609" s="1771"/>
      <c r="W609" s="1789"/>
      <c r="X609" s="1918"/>
      <c r="Y609" s="1776" t="s">
        <v>194</v>
      </c>
      <c r="Z609" s="1738" t="s">
        <v>754</v>
      </c>
      <c r="AA609" s="1913"/>
      <c r="AB609" s="1794"/>
      <c r="AC609" s="1776" t="s">
        <v>194</v>
      </c>
      <c r="AD609" s="1738" t="s">
        <v>754</v>
      </c>
      <c r="AE609" s="1913"/>
      <c r="AF609" s="1794"/>
      <c r="AG609" s="1735" t="str">
        <f>"51:sisetukbn_code:" &amp; IF(D623="■",1,IF(D624="■",2,IF(D625="■",3,IF(D626="■",4,0))))</f>
        <v>51:sisetukbn_code:0</v>
      </c>
      <c r="AI609" s="1735" t="str">
        <f>"51:"&amp;IF(AND(I609="□",L609="□",P609="□",T609="□"),"ketu_kangos_code:0",IF(I609="■","ketu_kangos_code:1:ketu_kshoku_code:1:ketu_ksiensou_code=1",IF(L609="■","ketu_kangos_code:2","ketu_kangos_code:1")
&amp;IF(P609="■",":ketu_kshoku_code:2",":ketu_kshoku_code:1")
&amp;IF(T609="■",":ketu_ksiensou_code:2",":ketu_ksiensou_code:1")))</f>
        <v>51:ketu_kangos_code:0</v>
      </c>
    </row>
    <row r="610" spans="1:35" s="1735" customFormat="1" ht="18.75" customHeight="1">
      <c r="A610" s="1766"/>
      <c r="B610" s="1765"/>
      <c r="C610" s="1916"/>
      <c r="D610" s="1915"/>
      <c r="E610" s="1762"/>
      <c r="F610" s="1761"/>
      <c r="G610" s="1793"/>
      <c r="H610" s="1769" t="s">
        <v>99</v>
      </c>
      <c r="I610" s="1773" t="s">
        <v>194</v>
      </c>
      <c r="J610" s="1754" t="s">
        <v>755</v>
      </c>
      <c r="K610" s="1789"/>
      <c r="L610" s="1791"/>
      <c r="M610" s="1772" t="s">
        <v>194</v>
      </c>
      <c r="N610" s="1754" t="s">
        <v>756</v>
      </c>
      <c r="O610" s="1789"/>
      <c r="P610" s="1789"/>
      <c r="Q610" s="1789"/>
      <c r="R610" s="1789"/>
      <c r="S610" s="1789"/>
      <c r="T610" s="1789"/>
      <c r="U610" s="1789"/>
      <c r="V610" s="1789"/>
      <c r="W610" s="1789"/>
      <c r="X610" s="1918"/>
      <c r="Y610" s="1914"/>
      <c r="Z610" s="1913"/>
      <c r="AA610" s="1913"/>
      <c r="AB610" s="1794"/>
      <c r="AC610" s="1914"/>
      <c r="AD610" s="1913"/>
      <c r="AE610" s="1913"/>
      <c r="AF610" s="1794"/>
      <c r="AI610" s="1735" t="str">
        <f>"51:unitcare_code:" &amp; IF(I610="■",1,IF(M610="■",2,0))</f>
        <v>51:unitcare_code:0</v>
      </c>
    </row>
    <row r="611" spans="1:35" s="1735" customFormat="1" ht="18.75" customHeight="1">
      <c r="A611" s="1766"/>
      <c r="B611" s="1765"/>
      <c r="C611" s="1916"/>
      <c r="D611" s="1915"/>
      <c r="E611" s="1762"/>
      <c r="F611" s="1761"/>
      <c r="G611" s="1793"/>
      <c r="H611" s="1769" t="s">
        <v>757</v>
      </c>
      <c r="I611" s="1773" t="s">
        <v>194</v>
      </c>
      <c r="J611" s="1754" t="s">
        <v>758</v>
      </c>
      <c r="K611" s="1789"/>
      <c r="L611" s="1791"/>
      <c r="M611" s="1772" t="s">
        <v>194</v>
      </c>
      <c r="N611" s="1754" t="s">
        <v>759</v>
      </c>
      <c r="O611" s="1789"/>
      <c r="P611" s="1789"/>
      <c r="Q611" s="1789"/>
      <c r="R611" s="1789"/>
      <c r="S611" s="1789"/>
      <c r="T611" s="1789"/>
      <c r="U611" s="1789"/>
      <c r="V611" s="1789"/>
      <c r="W611" s="1789"/>
      <c r="X611" s="1918"/>
      <c r="Y611" s="1914"/>
      <c r="Z611" s="1913"/>
      <c r="AA611" s="1913"/>
      <c r="AB611" s="1794"/>
      <c r="AC611" s="1914"/>
      <c r="AD611" s="1913"/>
      <c r="AE611" s="1913"/>
      <c r="AF611" s="1794"/>
      <c r="AI611" s="1735" t="str">
        <f>"51:sintaikousoku_code:" &amp; IF(I611="■",1,IF(M611="■",2,0))</f>
        <v>51:sintaikousoku_code:0</v>
      </c>
    </row>
    <row r="612" spans="1:35" s="1735" customFormat="1" ht="18.75" customHeight="1">
      <c r="A612" s="1766"/>
      <c r="B612" s="1765"/>
      <c r="C612" s="1916"/>
      <c r="D612" s="1915"/>
      <c r="E612" s="1762"/>
      <c r="F612" s="1761"/>
      <c r="G612" s="1793"/>
      <c r="H612" s="1769" t="s">
        <v>448</v>
      </c>
      <c r="I612" s="1773" t="s">
        <v>194</v>
      </c>
      <c r="J612" s="1754" t="s">
        <v>758</v>
      </c>
      <c r="K612" s="1789"/>
      <c r="L612" s="1791"/>
      <c r="M612" s="1772" t="s">
        <v>194</v>
      </c>
      <c r="N612" s="1754" t="s">
        <v>759</v>
      </c>
      <c r="O612" s="1789"/>
      <c r="P612" s="1789"/>
      <c r="Q612" s="1789"/>
      <c r="R612" s="1789"/>
      <c r="S612" s="1789"/>
      <c r="T612" s="1789"/>
      <c r="U612" s="1789"/>
      <c r="V612" s="1789"/>
      <c r="W612" s="1789"/>
      <c r="X612" s="1918"/>
      <c r="Y612" s="1914"/>
      <c r="Z612" s="1913"/>
      <c r="AA612" s="1913"/>
      <c r="AB612" s="1794"/>
      <c r="AC612" s="1914"/>
      <c r="AD612" s="1913"/>
      <c r="AE612" s="1913"/>
      <c r="AF612" s="1794"/>
      <c r="AI612" s="1735" t="str">
        <f>"51:field208:" &amp; IF(I612="■",1,IF(M612="■",2,0))</f>
        <v>51:field208:0</v>
      </c>
    </row>
    <row r="613" spans="1:35" s="1735" customFormat="1" ht="19.5" customHeight="1">
      <c r="A613" s="1766"/>
      <c r="B613" s="1765"/>
      <c r="C613" s="1764"/>
      <c r="D613" s="1763"/>
      <c r="E613" s="1762"/>
      <c r="F613" s="1761"/>
      <c r="G613" s="1793"/>
      <c r="H613" s="1792" t="s">
        <v>760</v>
      </c>
      <c r="I613" s="1773" t="s">
        <v>194</v>
      </c>
      <c r="J613" s="1754" t="s">
        <v>758</v>
      </c>
      <c r="K613" s="1789"/>
      <c r="L613" s="1791"/>
      <c r="M613" s="1772" t="s">
        <v>194</v>
      </c>
      <c r="N613" s="1754" t="s">
        <v>761</v>
      </c>
      <c r="O613" s="1920"/>
      <c r="P613" s="1754"/>
      <c r="Q613" s="1768"/>
      <c r="R613" s="1768"/>
      <c r="S613" s="1768"/>
      <c r="T613" s="1768"/>
      <c r="U613" s="1768"/>
      <c r="V613" s="1768"/>
      <c r="W613" s="1768"/>
      <c r="X613" s="1767"/>
      <c r="Y613" s="1913"/>
      <c r="Z613" s="1913"/>
      <c r="AA613" s="1913"/>
      <c r="AB613" s="1794"/>
      <c r="AC613" s="1914"/>
      <c r="AD613" s="1913"/>
      <c r="AE613" s="1913"/>
      <c r="AF613" s="1794"/>
      <c r="AI613" s="1735" t="str">
        <f>"51:field223:" &amp; IF(I613="■",1,IF(M613="■",2,0))</f>
        <v>51:field223:0</v>
      </c>
    </row>
    <row r="614" spans="1:35" s="1735" customFormat="1" ht="19.5" customHeight="1">
      <c r="A614" s="1766"/>
      <c r="B614" s="1765"/>
      <c r="C614" s="1764"/>
      <c r="D614" s="1763"/>
      <c r="E614" s="1762"/>
      <c r="F614" s="1761"/>
      <c r="G614" s="1793"/>
      <c r="H614" s="1792" t="s">
        <v>762</v>
      </c>
      <c r="I614" s="1773" t="s">
        <v>194</v>
      </c>
      <c r="J614" s="1754" t="s">
        <v>758</v>
      </c>
      <c r="K614" s="1789"/>
      <c r="L614" s="1791"/>
      <c r="M614" s="1772" t="s">
        <v>194</v>
      </c>
      <c r="N614" s="1754" t="s">
        <v>761</v>
      </c>
      <c r="O614" s="1920"/>
      <c r="P614" s="1754"/>
      <c r="Q614" s="1768"/>
      <c r="R614" s="1768"/>
      <c r="S614" s="1768"/>
      <c r="T614" s="1768"/>
      <c r="U614" s="1768"/>
      <c r="V614" s="1768"/>
      <c r="W614" s="1768"/>
      <c r="X614" s="1767"/>
      <c r="Y614" s="1913"/>
      <c r="Z614" s="1913"/>
      <c r="AA614" s="1913"/>
      <c r="AB614" s="1794"/>
      <c r="AC614" s="1914"/>
      <c r="AD614" s="1913"/>
      <c r="AE614" s="1913"/>
      <c r="AF614" s="1794"/>
      <c r="AI614" s="1735" t="str">
        <f>"51:field232:" &amp; IF(I614="■",1,IF(M614="■",2,0))</f>
        <v>51:field232:0</v>
      </c>
    </row>
    <row r="615" spans="1:35" s="1735" customFormat="1" ht="37.5" customHeight="1">
      <c r="A615" s="1766"/>
      <c r="B615" s="1765"/>
      <c r="C615" s="1916"/>
      <c r="D615" s="1915"/>
      <c r="E615" s="1762"/>
      <c r="F615" s="1761"/>
      <c r="G615" s="1793"/>
      <c r="H615" s="1759" t="s">
        <v>763</v>
      </c>
      <c r="I615" s="1758" t="s">
        <v>194</v>
      </c>
      <c r="J615" s="1756" t="s">
        <v>750</v>
      </c>
      <c r="K615" s="1755"/>
      <c r="L615" s="1757" t="s">
        <v>194</v>
      </c>
      <c r="M615" s="1756" t="s">
        <v>764</v>
      </c>
      <c r="N615" s="1754"/>
      <c r="O615" s="1754"/>
      <c r="P615" s="1754"/>
      <c r="Q615" s="1754"/>
      <c r="R615" s="1754"/>
      <c r="S615" s="1754"/>
      <c r="T615" s="1754"/>
      <c r="U615" s="1754"/>
      <c r="V615" s="1754"/>
      <c r="W615" s="1754"/>
      <c r="X615" s="1753"/>
      <c r="Y615" s="1914"/>
      <c r="Z615" s="1913"/>
      <c r="AA615" s="1913"/>
      <c r="AB615" s="1794"/>
      <c r="AC615" s="1914"/>
      <c r="AD615" s="1913"/>
      <c r="AE615" s="1913"/>
      <c r="AF615" s="1794"/>
      <c r="AI615" s="1735" t="str">
        <f>"51:field206:" &amp; IF(I615="■",1,IF(L615="■",2,0))</f>
        <v>51:field206:0</v>
      </c>
    </row>
    <row r="616" spans="1:35" s="1735" customFormat="1" ht="18.75" customHeight="1">
      <c r="A616" s="1766"/>
      <c r="B616" s="1765"/>
      <c r="C616" s="1916"/>
      <c r="D616" s="1915"/>
      <c r="E616" s="1762"/>
      <c r="F616" s="1761"/>
      <c r="G616" s="1793"/>
      <c r="H616" s="1769" t="s">
        <v>765</v>
      </c>
      <c r="I616" s="1758" t="s">
        <v>194</v>
      </c>
      <c r="J616" s="1756" t="s">
        <v>750</v>
      </c>
      <c r="K616" s="1755"/>
      <c r="L616" s="1757" t="s">
        <v>194</v>
      </c>
      <c r="M616" s="1756" t="s">
        <v>764</v>
      </c>
      <c r="N616" s="1789"/>
      <c r="O616" s="1789"/>
      <c r="P616" s="1789"/>
      <c r="Q616" s="1789"/>
      <c r="R616" s="1789"/>
      <c r="S616" s="1789"/>
      <c r="T616" s="1789"/>
      <c r="U616" s="1789"/>
      <c r="V616" s="1789"/>
      <c r="W616" s="1789"/>
      <c r="X616" s="1918"/>
      <c r="Y616" s="1914"/>
      <c r="Z616" s="1913"/>
      <c r="AA616" s="1913"/>
      <c r="AB616" s="1794"/>
      <c r="AC616" s="1914"/>
      <c r="AD616" s="1913"/>
      <c r="AE616" s="1913"/>
      <c r="AF616" s="1794"/>
      <c r="AI616" s="1735" t="str">
        <f>"51:nitijyouseikatu_code:" &amp; IF(I616="■",1,IF(L616="■",2,0))</f>
        <v>51:nitijyouseikatu_code:0</v>
      </c>
    </row>
    <row r="617" spans="1:35" s="1735" customFormat="1" ht="37.5" customHeight="1">
      <c r="A617" s="1766"/>
      <c r="B617" s="1765"/>
      <c r="C617" s="1916"/>
      <c r="D617" s="1915"/>
      <c r="E617" s="1762"/>
      <c r="F617" s="1761"/>
      <c r="G617" s="1793"/>
      <c r="H617" s="1759" t="s">
        <v>449</v>
      </c>
      <c r="I617" s="1758" t="s">
        <v>194</v>
      </c>
      <c r="J617" s="1756" t="s">
        <v>750</v>
      </c>
      <c r="K617" s="1755"/>
      <c r="L617" s="1757" t="s">
        <v>194</v>
      </c>
      <c r="M617" s="1756" t="s">
        <v>764</v>
      </c>
      <c r="N617" s="1789"/>
      <c r="O617" s="1789"/>
      <c r="P617" s="1789"/>
      <c r="Q617" s="1789"/>
      <c r="R617" s="1789"/>
      <c r="S617" s="1789"/>
      <c r="T617" s="1789"/>
      <c r="U617" s="1789"/>
      <c r="V617" s="1789"/>
      <c r="W617" s="1789"/>
      <c r="X617" s="1918"/>
      <c r="Y617" s="1914"/>
      <c r="Z617" s="1913"/>
      <c r="AA617" s="1913"/>
      <c r="AB617" s="1794"/>
      <c r="AC617" s="1914"/>
      <c r="AD617" s="1913"/>
      <c r="AE617" s="1913"/>
      <c r="AF617" s="1794"/>
      <c r="AI617" s="1735" t="str">
        <f>"51:field215:" &amp; IF(I617="■",1,IF(L617="■",2,0))</f>
        <v>51:field215:0</v>
      </c>
    </row>
    <row r="618" spans="1:35" s="1735" customFormat="1" ht="18.75" customHeight="1">
      <c r="A618" s="1766"/>
      <c r="B618" s="1765"/>
      <c r="C618" s="1916"/>
      <c r="D618" s="1915"/>
      <c r="E618" s="1762"/>
      <c r="F618" s="1761"/>
      <c r="G618" s="1793"/>
      <c r="H618" s="1769" t="s">
        <v>766</v>
      </c>
      <c r="I618" s="1758" t="s">
        <v>194</v>
      </c>
      <c r="J618" s="1756" t="s">
        <v>750</v>
      </c>
      <c r="K618" s="1755"/>
      <c r="L618" s="1757" t="s">
        <v>194</v>
      </c>
      <c r="M618" s="1756" t="s">
        <v>764</v>
      </c>
      <c r="N618" s="1754"/>
      <c r="O618" s="1754"/>
      <c r="P618" s="1754"/>
      <c r="Q618" s="1754"/>
      <c r="R618" s="1754"/>
      <c r="S618" s="1754"/>
      <c r="T618" s="1754"/>
      <c r="U618" s="1754"/>
      <c r="V618" s="1754"/>
      <c r="W618" s="1754"/>
      <c r="X618" s="1753"/>
      <c r="Y618" s="1914"/>
      <c r="Z618" s="1913"/>
      <c r="AA618" s="1913"/>
      <c r="AB618" s="1794"/>
      <c r="AC618" s="1914"/>
      <c r="AD618" s="1913"/>
      <c r="AE618" s="1913"/>
      <c r="AF618" s="1794"/>
      <c r="AI618" s="1735" t="str">
        <f>"51:field200:" &amp; IF(I618="■",1,IF(L618="■",2,0))</f>
        <v>51:field200:0</v>
      </c>
    </row>
    <row r="619" spans="1:35" s="1735" customFormat="1" ht="18.75" customHeight="1">
      <c r="A619" s="1766"/>
      <c r="B619" s="1765"/>
      <c r="C619" s="1916"/>
      <c r="D619" s="1915"/>
      <c r="E619" s="1762"/>
      <c r="F619" s="1761"/>
      <c r="G619" s="1793"/>
      <c r="H619" s="1769" t="s">
        <v>767</v>
      </c>
      <c r="I619" s="1758" t="s">
        <v>194</v>
      </c>
      <c r="J619" s="1756" t="s">
        <v>750</v>
      </c>
      <c r="K619" s="1755"/>
      <c r="L619" s="1757" t="s">
        <v>194</v>
      </c>
      <c r="M619" s="1756" t="s">
        <v>764</v>
      </c>
      <c r="N619" s="1754"/>
      <c r="O619" s="1754"/>
      <c r="P619" s="1754"/>
      <c r="Q619" s="1754"/>
      <c r="R619" s="1754"/>
      <c r="S619" s="1754"/>
      <c r="T619" s="1754"/>
      <c r="U619" s="1754"/>
      <c r="V619" s="1754"/>
      <c r="W619" s="1754"/>
      <c r="X619" s="1753"/>
      <c r="Y619" s="1914"/>
      <c r="Z619" s="1913"/>
      <c r="AA619" s="1913"/>
      <c r="AB619" s="1794"/>
      <c r="AC619" s="1914"/>
      <c r="AD619" s="1913"/>
      <c r="AE619" s="1913"/>
      <c r="AF619" s="1794"/>
      <c r="AI619" s="1735" t="str">
        <f>"51:field201:" &amp; IF(I619="■",1,IF(L619="■",2,0))</f>
        <v>51:field201:0</v>
      </c>
    </row>
    <row r="620" spans="1:35" s="1735" customFormat="1" ht="18.75" customHeight="1">
      <c r="A620" s="1766"/>
      <c r="B620" s="1765"/>
      <c r="C620" s="1916"/>
      <c r="D620" s="1915"/>
      <c r="E620" s="1762"/>
      <c r="F620" s="1761"/>
      <c r="G620" s="1793"/>
      <c r="H620" s="1769" t="s">
        <v>768</v>
      </c>
      <c r="I620" s="1773" t="s">
        <v>194</v>
      </c>
      <c r="J620" s="1754" t="s">
        <v>750</v>
      </c>
      <c r="K620" s="1754"/>
      <c r="L620" s="1772" t="s">
        <v>194</v>
      </c>
      <c r="M620" s="1754" t="s">
        <v>769</v>
      </c>
      <c r="N620" s="1754"/>
      <c r="O620" s="1789"/>
      <c r="P620" s="1789"/>
      <c r="Q620" s="1772" t="s">
        <v>194</v>
      </c>
      <c r="R620" s="1754" t="s">
        <v>770</v>
      </c>
      <c r="S620" s="1789"/>
      <c r="T620" s="1789"/>
      <c r="U620" s="1789"/>
      <c r="V620" s="1789"/>
      <c r="W620" s="1789"/>
      <c r="X620" s="1918"/>
      <c r="Y620" s="1914"/>
      <c r="Z620" s="1913"/>
      <c r="AA620" s="1913"/>
      <c r="AB620" s="1794"/>
      <c r="AC620" s="1914"/>
      <c r="AD620" s="1913"/>
      <c r="AE620" s="1913"/>
      <c r="AF620" s="1794"/>
      <c r="AI620" s="1735" t="str">
        <f>"51:yakinhaiti_code:"&amp;IF(I620="■",1,IF(Q620="■",3,IF(L620="■",2,0)))</f>
        <v>51:yakinhaiti_code:0</v>
      </c>
    </row>
    <row r="621" spans="1:35" s="1735" customFormat="1" ht="37.5" customHeight="1">
      <c r="A621" s="1766"/>
      <c r="B621" s="1765"/>
      <c r="C621" s="1916"/>
      <c r="D621" s="1915"/>
      <c r="E621" s="1762"/>
      <c r="F621" s="1761"/>
      <c r="G621" s="1793"/>
      <c r="H621" s="1759" t="s">
        <v>450</v>
      </c>
      <c r="I621" s="1758" t="s">
        <v>194</v>
      </c>
      <c r="J621" s="1756" t="s">
        <v>750</v>
      </c>
      <c r="K621" s="1755"/>
      <c r="L621" s="1757" t="s">
        <v>194</v>
      </c>
      <c r="M621" s="1756" t="s">
        <v>764</v>
      </c>
      <c r="N621" s="1789"/>
      <c r="O621" s="1789"/>
      <c r="P621" s="1789"/>
      <c r="Q621" s="1789"/>
      <c r="R621" s="1789"/>
      <c r="S621" s="1789"/>
      <c r="T621" s="1789"/>
      <c r="U621" s="1789"/>
      <c r="V621" s="1789"/>
      <c r="W621" s="1789"/>
      <c r="X621" s="1918"/>
      <c r="Y621" s="1914"/>
      <c r="Z621" s="1913"/>
      <c r="AA621" s="1913"/>
      <c r="AB621" s="1794"/>
      <c r="AC621" s="1914"/>
      <c r="AD621" s="1913"/>
      <c r="AE621" s="1913"/>
      <c r="AF621" s="1794"/>
      <c r="AI621" s="1735" t="str">
        <f>"51:field161:" &amp; IF(I621="■",1,IF(L621="■",2,0))</f>
        <v>51:field161:0</v>
      </c>
    </row>
    <row r="622" spans="1:35" s="1735" customFormat="1" ht="18.75" customHeight="1">
      <c r="A622" s="1766"/>
      <c r="B622" s="1765"/>
      <c r="C622" s="1916"/>
      <c r="D622" s="1915"/>
      <c r="E622" s="1762"/>
      <c r="F622" s="1761"/>
      <c r="G622" s="1793"/>
      <c r="H622" s="1769" t="s">
        <v>771</v>
      </c>
      <c r="I622" s="1773" t="s">
        <v>194</v>
      </c>
      <c r="J622" s="1754" t="s">
        <v>755</v>
      </c>
      <c r="K622" s="1789"/>
      <c r="L622" s="1789"/>
      <c r="M622" s="1772" t="s">
        <v>194</v>
      </c>
      <c r="N622" s="1754" t="s">
        <v>756</v>
      </c>
      <c r="O622" s="1789"/>
      <c r="P622" s="1789"/>
      <c r="Q622" s="1789"/>
      <c r="R622" s="1789"/>
      <c r="S622" s="1789"/>
      <c r="T622" s="1789"/>
      <c r="U622" s="1789"/>
      <c r="V622" s="1789"/>
      <c r="W622" s="1789"/>
      <c r="X622" s="1918"/>
      <c r="Y622" s="1914"/>
      <c r="Z622" s="1913"/>
      <c r="AA622" s="1913"/>
      <c r="AB622" s="1794"/>
      <c r="AC622" s="1914"/>
      <c r="AD622" s="1913"/>
      <c r="AE622" s="1913"/>
      <c r="AF622" s="1794"/>
      <c r="AI622" s="1735" t="str">
        <f>"51:jyun_unit_code:" &amp; IF(I622="■",1,IF(M622="■",2,0))</f>
        <v>51:jyun_unit_code:0</v>
      </c>
    </row>
    <row r="623" spans="1:35" s="1735" customFormat="1" ht="18.75" customHeight="1">
      <c r="A623" s="1766"/>
      <c r="B623" s="1765"/>
      <c r="C623" s="1916"/>
      <c r="D623" s="1776" t="s">
        <v>194</v>
      </c>
      <c r="E623" s="1762" t="s">
        <v>775</v>
      </c>
      <c r="F623" s="1761"/>
      <c r="G623" s="1793"/>
      <c r="H623" s="1759" t="s">
        <v>772</v>
      </c>
      <c r="I623" s="1773" t="s">
        <v>194</v>
      </c>
      <c r="J623" s="1754" t="s">
        <v>750</v>
      </c>
      <c r="K623" s="1754"/>
      <c r="L623" s="1772" t="s">
        <v>194</v>
      </c>
      <c r="M623" s="1754" t="s">
        <v>773</v>
      </c>
      <c r="N623" s="1754"/>
      <c r="O623" s="1772" t="s">
        <v>194</v>
      </c>
      <c r="P623" s="1754" t="s">
        <v>774</v>
      </c>
      <c r="Q623" s="1754"/>
      <c r="R623" s="1754"/>
      <c r="S623" s="1754"/>
      <c r="T623" s="1754"/>
      <c r="U623" s="1754"/>
      <c r="V623" s="1754"/>
      <c r="W623" s="1754"/>
      <c r="X623" s="1753"/>
      <c r="Y623" s="1914"/>
      <c r="Z623" s="1913"/>
      <c r="AA623" s="1913"/>
      <c r="AB623" s="1794"/>
      <c r="AC623" s="1914"/>
      <c r="AD623" s="1913"/>
      <c r="AE623" s="1913"/>
      <c r="AF623" s="1794"/>
      <c r="AI623" s="1735" t="str">
        <f>"51:field185:" &amp; IF(I623="■",1,IF(L623="■",3,IF(O623="■",2,0)))</f>
        <v>51:field185:0</v>
      </c>
    </row>
    <row r="624" spans="1:35" s="1735" customFormat="1" ht="18.75" customHeight="1">
      <c r="A624" s="1776" t="s">
        <v>194</v>
      </c>
      <c r="B624" s="1765">
        <v>51</v>
      </c>
      <c r="C624" s="1916" t="s">
        <v>778</v>
      </c>
      <c r="D624" s="1776" t="s">
        <v>194</v>
      </c>
      <c r="E624" s="1762" t="s">
        <v>779</v>
      </c>
      <c r="F624" s="1761"/>
      <c r="G624" s="1793"/>
      <c r="H624" s="1759" t="s">
        <v>776</v>
      </c>
      <c r="I624" s="1758" t="s">
        <v>194</v>
      </c>
      <c r="J624" s="1756" t="s">
        <v>750</v>
      </c>
      <c r="K624" s="1755"/>
      <c r="L624" s="1757" t="s">
        <v>194</v>
      </c>
      <c r="M624" s="1756" t="s">
        <v>1122</v>
      </c>
      <c r="N624" s="1754"/>
      <c r="O624" s="1772" t="s">
        <v>194</v>
      </c>
      <c r="P624" s="1756" t="s">
        <v>1123</v>
      </c>
      <c r="Q624" s="1754"/>
      <c r="R624" s="1757" t="s">
        <v>194</v>
      </c>
      <c r="S624" s="1756" t="s">
        <v>777</v>
      </c>
      <c r="T624" s="1754"/>
      <c r="U624" s="1754"/>
      <c r="V624" s="1754"/>
      <c r="W624" s="1754"/>
      <c r="X624" s="1753"/>
      <c r="Y624" s="1914"/>
      <c r="Z624" s="1913"/>
      <c r="AA624" s="1913"/>
      <c r="AB624" s="1794"/>
      <c r="AC624" s="1914"/>
      <c r="AD624" s="1913"/>
      <c r="AE624" s="1913"/>
      <c r="AF624" s="1794"/>
      <c r="AI624" s="1735" t="str">
        <f>"51:kobetu_kunren_code:" &amp; IF(I624="■",1,IF(R624="■",5,IF(O624="■",4,IF(L624="■",3,0))))</f>
        <v>51:kobetu_kunren_code:0</v>
      </c>
    </row>
    <row r="625" spans="1:35" s="1735" customFormat="1" ht="18.75" customHeight="1">
      <c r="A625" s="1766"/>
      <c r="B625" s="1765"/>
      <c r="C625" s="1916"/>
      <c r="D625" s="1776" t="s">
        <v>194</v>
      </c>
      <c r="E625" s="1762" t="s">
        <v>781</v>
      </c>
      <c r="F625" s="1761"/>
      <c r="G625" s="1793"/>
      <c r="H625" s="1759" t="s">
        <v>780</v>
      </c>
      <c r="I625" s="1758" t="s">
        <v>194</v>
      </c>
      <c r="J625" s="1756" t="s">
        <v>750</v>
      </c>
      <c r="K625" s="1755"/>
      <c r="L625" s="1757" t="s">
        <v>194</v>
      </c>
      <c r="M625" s="1756" t="s">
        <v>764</v>
      </c>
      <c r="N625" s="1754"/>
      <c r="O625" s="1754"/>
      <c r="P625" s="1754"/>
      <c r="Q625" s="1754"/>
      <c r="R625" s="1754"/>
      <c r="S625" s="1754"/>
      <c r="T625" s="1754"/>
      <c r="U625" s="1754"/>
      <c r="V625" s="1754"/>
      <c r="W625" s="1754"/>
      <c r="X625" s="1753"/>
      <c r="Y625" s="1914"/>
      <c r="Z625" s="1913"/>
      <c r="AA625" s="1913"/>
      <c r="AB625" s="1794"/>
      <c r="AC625" s="1914"/>
      <c r="AD625" s="1913"/>
      <c r="AE625" s="1913"/>
      <c r="AF625" s="1794"/>
      <c r="AI625" s="1735" t="str">
        <f>"51:field186:" &amp; IF(I625="■",1,IF(L625="■",2,0))</f>
        <v>51:field186:0</v>
      </c>
    </row>
    <row r="626" spans="1:35" s="1735" customFormat="1" ht="18.75" customHeight="1">
      <c r="A626" s="1766"/>
      <c r="B626" s="1765"/>
      <c r="C626" s="1916"/>
      <c r="D626" s="1776" t="s">
        <v>194</v>
      </c>
      <c r="E626" s="1762" t="s">
        <v>783</v>
      </c>
      <c r="F626" s="1761"/>
      <c r="G626" s="1793"/>
      <c r="H626" s="1955" t="s">
        <v>782</v>
      </c>
      <c r="I626" s="1758" t="s">
        <v>194</v>
      </c>
      <c r="J626" s="1756" t="s">
        <v>750</v>
      </c>
      <c r="K626" s="1755"/>
      <c r="L626" s="1757" t="s">
        <v>194</v>
      </c>
      <c r="M626" s="1756" t="s">
        <v>764</v>
      </c>
      <c r="N626" s="1789"/>
      <c r="O626" s="1789"/>
      <c r="P626" s="1789"/>
      <c r="Q626" s="1789"/>
      <c r="R626" s="1789"/>
      <c r="S626" s="1789"/>
      <c r="T626" s="1789"/>
      <c r="U626" s="1789"/>
      <c r="V626" s="1789"/>
      <c r="W626" s="1789"/>
      <c r="X626" s="1918"/>
      <c r="Y626" s="1914"/>
      <c r="Z626" s="1913"/>
      <c r="AA626" s="1913"/>
      <c r="AB626" s="1794"/>
      <c r="AC626" s="1914"/>
      <c r="AD626" s="1913"/>
      <c r="AE626" s="1913"/>
      <c r="AF626" s="1794"/>
      <c r="AI626" s="1735" t="str">
        <f>"51:jyakuninti_uke_code:" &amp; IF(I626="■",1,IF(L626="■",2,0))</f>
        <v>51:jyakuninti_uke_code:0</v>
      </c>
    </row>
    <row r="627" spans="1:35" s="1735" customFormat="1" ht="18.75" customHeight="1">
      <c r="A627" s="1766"/>
      <c r="B627" s="1765"/>
      <c r="C627" s="1916"/>
      <c r="D627" s="1915"/>
      <c r="E627" s="1762"/>
      <c r="F627" s="1761"/>
      <c r="G627" s="1793"/>
      <c r="H627" s="1769" t="s">
        <v>100</v>
      </c>
      <c r="I627" s="1758" t="s">
        <v>194</v>
      </c>
      <c r="J627" s="1756" t="s">
        <v>750</v>
      </c>
      <c r="K627" s="1755"/>
      <c r="L627" s="1757" t="s">
        <v>194</v>
      </c>
      <c r="M627" s="1756" t="s">
        <v>764</v>
      </c>
      <c r="N627" s="1789"/>
      <c r="O627" s="1789"/>
      <c r="P627" s="1789"/>
      <c r="Q627" s="1789"/>
      <c r="R627" s="1789"/>
      <c r="S627" s="1789"/>
      <c r="T627" s="1789"/>
      <c r="U627" s="1789"/>
      <c r="V627" s="1789"/>
      <c r="W627" s="1789"/>
      <c r="X627" s="1918"/>
      <c r="Y627" s="1914"/>
      <c r="Z627" s="1913"/>
      <c r="AA627" s="1913"/>
      <c r="AB627" s="1794"/>
      <c r="AC627" s="1914"/>
      <c r="AD627" s="1913"/>
      <c r="AE627" s="1913"/>
      <c r="AF627" s="1794"/>
      <c r="AI627" s="1735" t="str">
        <f>"51:jyosen_doctor_code:" &amp; IF(I627="■",1,IF(L627="■",2,0))</f>
        <v>51:jyosen_doctor_code:0</v>
      </c>
    </row>
    <row r="628" spans="1:35" s="1735" customFormat="1" ht="18.75" customHeight="1">
      <c r="A628" s="1766"/>
      <c r="B628" s="1765"/>
      <c r="C628" s="1916"/>
      <c r="D628" s="1915"/>
      <c r="E628" s="1762"/>
      <c r="F628" s="1761"/>
      <c r="G628" s="1793"/>
      <c r="H628" s="1769" t="s">
        <v>101</v>
      </c>
      <c r="I628" s="1758" t="s">
        <v>194</v>
      </c>
      <c r="J628" s="1756" t="s">
        <v>750</v>
      </c>
      <c r="K628" s="1755"/>
      <c r="L628" s="1757" t="s">
        <v>194</v>
      </c>
      <c r="M628" s="1756" t="s">
        <v>764</v>
      </c>
      <c r="N628" s="1789"/>
      <c r="O628" s="1789"/>
      <c r="P628" s="1789"/>
      <c r="Q628" s="1789"/>
      <c r="R628" s="1789"/>
      <c r="S628" s="1789"/>
      <c r="T628" s="1789"/>
      <c r="U628" s="1789"/>
      <c r="V628" s="1789"/>
      <c r="W628" s="1789"/>
      <c r="X628" s="1918"/>
      <c r="Y628" s="1914"/>
      <c r="Z628" s="1913"/>
      <c r="AA628" s="1913"/>
      <c r="AB628" s="1794"/>
      <c r="AC628" s="1914"/>
      <c r="AD628" s="1913"/>
      <c r="AE628" s="1913"/>
      <c r="AF628" s="1794"/>
      <c r="AI628" s="1735" t="str">
        <f>"51:seisinsido_code:" &amp; IF(I628="■",1,IF(L628="■",2,0))</f>
        <v>51:seisinsido_code:0</v>
      </c>
    </row>
    <row r="629" spans="1:35" s="1735" customFormat="1" ht="18.75" customHeight="1">
      <c r="A629" s="1766"/>
      <c r="B629" s="1765"/>
      <c r="C629" s="1916"/>
      <c r="D629" s="1915"/>
      <c r="E629" s="1762"/>
      <c r="F629" s="1761"/>
      <c r="G629" s="1793"/>
      <c r="H629" s="1769" t="s">
        <v>1636</v>
      </c>
      <c r="I629" s="1773" t="s">
        <v>194</v>
      </c>
      <c r="J629" s="1754" t="s">
        <v>750</v>
      </c>
      <c r="K629" s="1754"/>
      <c r="L629" s="1772" t="s">
        <v>194</v>
      </c>
      <c r="M629" s="1754" t="s">
        <v>784</v>
      </c>
      <c r="N629" s="1754"/>
      <c r="O629" s="1772" t="s">
        <v>194</v>
      </c>
      <c r="P629" s="1754" t="s">
        <v>785</v>
      </c>
      <c r="Q629" s="1789"/>
      <c r="R629" s="1789"/>
      <c r="S629" s="1789"/>
      <c r="T629" s="1789"/>
      <c r="U629" s="1789"/>
      <c r="V629" s="1789"/>
      <c r="W629" s="1789"/>
      <c r="X629" s="1918"/>
      <c r="Y629" s="1914"/>
      <c r="Z629" s="1913"/>
      <c r="AA629" s="1913"/>
      <c r="AB629" s="1794"/>
      <c r="AC629" s="1914"/>
      <c r="AD629" s="1913"/>
      <c r="AE629" s="1913"/>
      <c r="AF629" s="1794"/>
      <c r="AI629" s="1735" t="str">
        <f>"51:shougai_code:" &amp; IF(I629="■",1,IF(L629="■",2,IF(O629="■",3,0)))</f>
        <v>51:shougai_code:0</v>
      </c>
    </row>
    <row r="630" spans="1:35" s="1735" customFormat="1" ht="18.75" customHeight="1">
      <c r="A630" s="1766"/>
      <c r="B630" s="1765"/>
      <c r="C630" s="1916"/>
      <c r="D630" s="1915"/>
      <c r="E630" s="1762"/>
      <c r="F630" s="1761"/>
      <c r="G630" s="1793"/>
      <c r="H630" s="1769" t="s">
        <v>786</v>
      </c>
      <c r="I630" s="1758" t="s">
        <v>194</v>
      </c>
      <c r="J630" s="1756" t="s">
        <v>750</v>
      </c>
      <c r="K630" s="1755"/>
      <c r="L630" s="1757" t="s">
        <v>194</v>
      </c>
      <c r="M630" s="1756" t="s">
        <v>764</v>
      </c>
      <c r="N630" s="1789"/>
      <c r="O630" s="1789"/>
      <c r="P630" s="1789"/>
      <c r="Q630" s="1789"/>
      <c r="R630" s="1789"/>
      <c r="S630" s="1789"/>
      <c r="T630" s="1789"/>
      <c r="U630" s="1789"/>
      <c r="V630" s="1789"/>
      <c r="W630" s="1789"/>
      <c r="X630" s="1918"/>
      <c r="Y630" s="1914"/>
      <c r="Z630" s="1913"/>
      <c r="AA630" s="1913"/>
      <c r="AB630" s="1794"/>
      <c r="AC630" s="1914"/>
      <c r="AD630" s="1913"/>
      <c r="AE630" s="1913"/>
      <c r="AF630" s="1794"/>
      <c r="AI630" s="1735" t="str">
        <f>"51:field207:" &amp; IF(I630="■",1,IF(L630="■",2,0))</f>
        <v>51:field207:0</v>
      </c>
    </row>
    <row r="631" spans="1:35" s="1735" customFormat="1" ht="18.75" customHeight="1">
      <c r="A631" s="1766"/>
      <c r="B631" s="1765"/>
      <c r="C631" s="1916"/>
      <c r="D631" s="1915"/>
      <c r="E631" s="1762"/>
      <c r="F631" s="1761"/>
      <c r="G631" s="1793"/>
      <c r="H631" s="1769" t="s">
        <v>787</v>
      </c>
      <c r="I631" s="1758" t="s">
        <v>194</v>
      </c>
      <c r="J631" s="1756" t="s">
        <v>750</v>
      </c>
      <c r="K631" s="1755"/>
      <c r="L631" s="1757" t="s">
        <v>194</v>
      </c>
      <c r="M631" s="1756" t="s">
        <v>764</v>
      </c>
      <c r="N631" s="1789"/>
      <c r="O631" s="1789"/>
      <c r="P631" s="1789"/>
      <c r="Q631" s="1789"/>
      <c r="R631" s="1789"/>
      <c r="S631" s="1789"/>
      <c r="T631" s="1789"/>
      <c r="U631" s="1789"/>
      <c r="V631" s="1789"/>
      <c r="W631" s="1789"/>
      <c r="X631" s="1918"/>
      <c r="Y631" s="1914"/>
      <c r="Z631" s="1913"/>
      <c r="AA631" s="1913"/>
      <c r="AB631" s="1794"/>
      <c r="AC631" s="1914"/>
      <c r="AD631" s="1913"/>
      <c r="AE631" s="1913"/>
      <c r="AF631" s="1794"/>
      <c r="AI631" s="1735" t="str">
        <f>"51:ryouyoushoku_code:" &amp; IF(I631="■",1,IF(L631="■",2,0))</f>
        <v>51:ryouyoushoku_code:0</v>
      </c>
    </row>
    <row r="632" spans="1:35" s="1735" customFormat="1" ht="18.75" customHeight="1">
      <c r="A632" s="1766"/>
      <c r="B632" s="1765"/>
      <c r="C632" s="1916"/>
      <c r="D632" s="1915"/>
      <c r="E632" s="1762"/>
      <c r="F632" s="1761"/>
      <c r="G632" s="1793"/>
      <c r="H632" s="1769" t="s">
        <v>788</v>
      </c>
      <c r="I632" s="1758" t="s">
        <v>194</v>
      </c>
      <c r="J632" s="1756" t="s">
        <v>750</v>
      </c>
      <c r="K632" s="1755"/>
      <c r="L632" s="1757" t="s">
        <v>194</v>
      </c>
      <c r="M632" s="1756" t="s">
        <v>764</v>
      </c>
      <c r="N632" s="1789"/>
      <c r="O632" s="1789"/>
      <c r="P632" s="1789"/>
      <c r="Q632" s="1789"/>
      <c r="R632" s="1789"/>
      <c r="S632" s="1789"/>
      <c r="T632" s="1789"/>
      <c r="U632" s="1789"/>
      <c r="V632" s="1789"/>
      <c r="W632" s="1789"/>
      <c r="X632" s="1918"/>
      <c r="Y632" s="1914"/>
      <c r="Z632" s="1913"/>
      <c r="AA632" s="1913"/>
      <c r="AB632" s="1794"/>
      <c r="AC632" s="1914"/>
      <c r="AD632" s="1913"/>
      <c r="AE632" s="1913"/>
      <c r="AF632" s="1794"/>
      <c r="AI632" s="1735" t="str">
        <f>"51:field176:" &amp; IF(I632="■",1,IF(L632="■",2,0))</f>
        <v>51:field176:0</v>
      </c>
    </row>
    <row r="633" spans="1:35" s="1735" customFormat="1" ht="18.75" customHeight="1">
      <c r="A633" s="1766"/>
      <c r="B633" s="1765"/>
      <c r="C633" s="1916"/>
      <c r="D633" s="1915"/>
      <c r="E633" s="1762"/>
      <c r="F633" s="1761"/>
      <c r="G633" s="1793"/>
      <c r="H633" s="1769" t="s">
        <v>789</v>
      </c>
      <c r="I633" s="1773" t="s">
        <v>194</v>
      </c>
      <c r="J633" s="1754" t="s">
        <v>750</v>
      </c>
      <c r="K633" s="1754"/>
      <c r="L633" s="1772" t="s">
        <v>194</v>
      </c>
      <c r="M633" s="1754" t="s">
        <v>784</v>
      </c>
      <c r="N633" s="1754"/>
      <c r="O633" s="1772" t="s">
        <v>194</v>
      </c>
      <c r="P633" s="1754" t="s">
        <v>785</v>
      </c>
      <c r="Q633" s="1789"/>
      <c r="R633" s="1789"/>
      <c r="S633" s="1789"/>
      <c r="T633" s="1789"/>
      <c r="U633" s="1789"/>
      <c r="V633" s="1789"/>
      <c r="W633" s="1789"/>
      <c r="X633" s="1918"/>
      <c r="Y633" s="1914"/>
      <c r="Z633" s="1913"/>
      <c r="AA633" s="1913"/>
      <c r="AB633" s="1794"/>
      <c r="AC633" s="1914"/>
      <c r="AD633" s="1913"/>
      <c r="AE633" s="1913"/>
      <c r="AF633" s="1794"/>
      <c r="AI633" s="1735" t="str">
        <f>"51:terminal_code:" &amp; IF(I633="■",1,IF(O633="■",3,IF(L633="■",2,0)))</f>
        <v>51:terminal_code:0</v>
      </c>
    </row>
    <row r="634" spans="1:35" s="1735" customFormat="1" ht="18.75" customHeight="1">
      <c r="A634" s="1766"/>
      <c r="B634" s="1765"/>
      <c r="C634" s="1916"/>
      <c r="D634" s="1915"/>
      <c r="E634" s="1762"/>
      <c r="F634" s="1761"/>
      <c r="G634" s="1793"/>
      <c r="H634" s="1769" t="s">
        <v>790</v>
      </c>
      <c r="I634" s="1773" t="s">
        <v>194</v>
      </c>
      <c r="J634" s="1754" t="s">
        <v>755</v>
      </c>
      <c r="K634" s="1789"/>
      <c r="L634" s="1791"/>
      <c r="M634" s="1772" t="s">
        <v>194</v>
      </c>
      <c r="N634" s="1754" t="s">
        <v>756</v>
      </c>
      <c r="O634" s="1789"/>
      <c r="P634" s="1789"/>
      <c r="Q634" s="1789"/>
      <c r="R634" s="1789"/>
      <c r="S634" s="1789"/>
      <c r="T634" s="1789"/>
      <c r="U634" s="1789"/>
      <c r="V634" s="1789"/>
      <c r="W634" s="1789"/>
      <c r="X634" s="1918"/>
      <c r="Y634" s="1914"/>
      <c r="Z634" s="1913"/>
      <c r="AA634" s="1913"/>
      <c r="AB634" s="1794"/>
      <c r="AC634" s="1914"/>
      <c r="AD634" s="1913"/>
      <c r="AE634" s="1913"/>
      <c r="AF634" s="1794"/>
      <c r="AI634" s="1735" t="str">
        <f>"51:sougoriyo_code:" &amp; IF(I634="■",1,IF(M634="■",2,0))</f>
        <v>51:sougoriyo_code:0</v>
      </c>
    </row>
    <row r="635" spans="1:35" s="1735" customFormat="1" ht="18.75" customHeight="1">
      <c r="A635" s="1766"/>
      <c r="B635" s="1765"/>
      <c r="C635" s="1916"/>
      <c r="D635" s="1915"/>
      <c r="E635" s="1762"/>
      <c r="F635" s="1761"/>
      <c r="G635" s="1793"/>
      <c r="H635" s="1769" t="s">
        <v>791</v>
      </c>
      <c r="I635" s="1773" t="s">
        <v>194</v>
      </c>
      <c r="J635" s="1754" t="s">
        <v>750</v>
      </c>
      <c r="K635" s="1754"/>
      <c r="L635" s="1757" t="s">
        <v>194</v>
      </c>
      <c r="M635" s="1754" t="s">
        <v>784</v>
      </c>
      <c r="N635" s="1754"/>
      <c r="O635" s="1772" t="s">
        <v>194</v>
      </c>
      <c r="P635" s="1754" t="s">
        <v>785</v>
      </c>
      <c r="Q635" s="1789"/>
      <c r="R635" s="1789"/>
      <c r="S635" s="1789"/>
      <c r="T635" s="1789"/>
      <c r="U635" s="1789"/>
      <c r="V635" s="1789"/>
      <c r="W635" s="1789"/>
      <c r="X635" s="1918"/>
      <c r="Y635" s="1914"/>
      <c r="Z635" s="1913"/>
      <c r="AA635" s="1913"/>
      <c r="AB635" s="1794"/>
      <c r="AC635" s="1914"/>
      <c r="AD635" s="1913"/>
      <c r="AE635" s="1913"/>
      <c r="AF635" s="1794"/>
      <c r="AI635" s="1735" t="str">
        <f>"51:ninti_senmoncare_code:" &amp; IF(I635="■",1,IF(O635="■",3,IF(L635="■",2,0)))</f>
        <v>51:ninti_senmoncare_code:0</v>
      </c>
    </row>
    <row r="636" spans="1:35" s="1735" customFormat="1" ht="18.75" customHeight="1">
      <c r="A636" s="1766"/>
      <c r="B636" s="1765"/>
      <c r="C636" s="1916"/>
      <c r="D636" s="1915"/>
      <c r="E636" s="1762"/>
      <c r="F636" s="1761"/>
      <c r="G636" s="1793"/>
      <c r="H636" s="1769" t="s">
        <v>792</v>
      </c>
      <c r="I636" s="1773" t="s">
        <v>194</v>
      </c>
      <c r="J636" s="1754" t="s">
        <v>750</v>
      </c>
      <c r="K636" s="1754"/>
      <c r="L636" s="1757" t="s">
        <v>194</v>
      </c>
      <c r="M636" s="1754" t="s">
        <v>784</v>
      </c>
      <c r="N636" s="1754"/>
      <c r="O636" s="1772" t="s">
        <v>194</v>
      </c>
      <c r="P636" s="1754" t="s">
        <v>785</v>
      </c>
      <c r="Q636" s="1789"/>
      <c r="R636" s="1789"/>
      <c r="S636" s="1789"/>
      <c r="T636" s="1789"/>
      <c r="U636" s="1789"/>
      <c r="V636" s="1789"/>
      <c r="W636" s="1789"/>
      <c r="X636" s="1918"/>
      <c r="Y636" s="1914"/>
      <c r="Z636" s="1913"/>
      <c r="AA636" s="1913"/>
      <c r="AB636" s="1794"/>
      <c r="AC636" s="1914"/>
      <c r="AD636" s="1913"/>
      <c r="AE636" s="1913"/>
      <c r="AF636" s="1794"/>
      <c r="AI636" s="1735" t="str">
        <f>"51:field228:" &amp; IF(I636="■",1,IF(L636="■",2,IF(O636="■",3,0)))</f>
        <v>51:field228:0</v>
      </c>
    </row>
    <row r="637" spans="1:35" s="1735" customFormat="1" ht="18.75" customHeight="1">
      <c r="A637" s="1766"/>
      <c r="B637" s="1765"/>
      <c r="C637" s="1916"/>
      <c r="D637" s="1915"/>
      <c r="E637" s="1762"/>
      <c r="F637" s="1761"/>
      <c r="G637" s="1793"/>
      <c r="H637" s="1769" t="s">
        <v>793</v>
      </c>
      <c r="I637" s="1758" t="s">
        <v>194</v>
      </c>
      <c r="J637" s="1756" t="s">
        <v>750</v>
      </c>
      <c r="K637" s="1755"/>
      <c r="L637" s="1757" t="s">
        <v>194</v>
      </c>
      <c r="M637" s="1756" t="s">
        <v>764</v>
      </c>
      <c r="N637" s="1789"/>
      <c r="O637" s="1789"/>
      <c r="P637" s="1789"/>
      <c r="Q637" s="1789"/>
      <c r="R637" s="1789"/>
      <c r="S637" s="1789"/>
      <c r="T637" s="1789"/>
      <c r="U637" s="1789"/>
      <c r="V637" s="1789"/>
      <c r="W637" s="1789"/>
      <c r="X637" s="1918"/>
      <c r="Y637" s="1914"/>
      <c r="Z637" s="1913"/>
      <c r="AA637" s="1913"/>
      <c r="AB637" s="1794"/>
      <c r="AC637" s="1914"/>
      <c r="AD637" s="1913"/>
      <c r="AE637" s="1913"/>
      <c r="AF637" s="1794"/>
      <c r="AI637" s="1735" t="str">
        <f>"51:field177:" &amp; IF(I637="■",1,IF(L637="■",2,0))</f>
        <v>51:field177:0</v>
      </c>
    </row>
    <row r="638" spans="1:35" s="1735" customFormat="1" ht="18.75" customHeight="1">
      <c r="A638" s="1766"/>
      <c r="B638" s="1765"/>
      <c r="C638" s="1916"/>
      <c r="D638" s="1915"/>
      <c r="E638" s="1762"/>
      <c r="F638" s="1761"/>
      <c r="G638" s="1793"/>
      <c r="H638" s="1777" t="s">
        <v>454</v>
      </c>
      <c r="I638" s="1758" t="s">
        <v>194</v>
      </c>
      <c r="J638" s="1756" t="s">
        <v>750</v>
      </c>
      <c r="K638" s="1755"/>
      <c r="L638" s="1757" t="s">
        <v>194</v>
      </c>
      <c r="M638" s="1756" t="s">
        <v>764</v>
      </c>
      <c r="N638" s="1789"/>
      <c r="O638" s="1789"/>
      <c r="P638" s="1789"/>
      <c r="Q638" s="1789"/>
      <c r="R638" s="1789"/>
      <c r="S638" s="1789"/>
      <c r="T638" s="1789"/>
      <c r="U638" s="1789"/>
      <c r="V638" s="1789"/>
      <c r="W638" s="1789"/>
      <c r="X638" s="1918"/>
      <c r="Y638" s="1914"/>
      <c r="Z638" s="1913"/>
      <c r="AA638" s="1913"/>
      <c r="AB638" s="1794"/>
      <c r="AC638" s="1914"/>
      <c r="AD638" s="1913"/>
      <c r="AE638" s="1913"/>
      <c r="AF638" s="1794"/>
      <c r="AI638" s="1735" t="str">
        <f>"51:field210:" &amp; IF(I638="■",1,IF(L638="■",2,0))</f>
        <v>51:field210:0</v>
      </c>
    </row>
    <row r="639" spans="1:35" s="1735" customFormat="1" ht="18.75" customHeight="1">
      <c r="A639" s="1766"/>
      <c r="B639" s="1765"/>
      <c r="C639" s="1916"/>
      <c r="D639" s="1915"/>
      <c r="E639" s="1762"/>
      <c r="F639" s="1761"/>
      <c r="G639" s="1793"/>
      <c r="H639" s="1769" t="s">
        <v>455</v>
      </c>
      <c r="I639" s="1758" t="s">
        <v>194</v>
      </c>
      <c r="J639" s="1756" t="s">
        <v>750</v>
      </c>
      <c r="K639" s="1755"/>
      <c r="L639" s="1757" t="s">
        <v>194</v>
      </c>
      <c r="M639" s="1756" t="s">
        <v>764</v>
      </c>
      <c r="N639" s="1789"/>
      <c r="O639" s="1789"/>
      <c r="P639" s="1789"/>
      <c r="Q639" s="1789"/>
      <c r="R639" s="1789"/>
      <c r="S639" s="1789"/>
      <c r="T639" s="1789"/>
      <c r="U639" s="1789"/>
      <c r="V639" s="1789"/>
      <c r="W639" s="1789"/>
      <c r="X639" s="1918"/>
      <c r="Y639" s="1914"/>
      <c r="Z639" s="1913"/>
      <c r="AA639" s="1913"/>
      <c r="AB639" s="1794"/>
      <c r="AC639" s="1914"/>
      <c r="AD639" s="1913"/>
      <c r="AE639" s="1913"/>
      <c r="AF639" s="1794"/>
      <c r="AI639" s="1735" t="str">
        <f>"51:field211:" &amp; IF(I639="■",1,IF(L639="■",2,0))</f>
        <v>51:field211:0</v>
      </c>
    </row>
    <row r="640" spans="1:35" s="1735" customFormat="1" ht="18.75" customHeight="1">
      <c r="A640" s="1766"/>
      <c r="B640" s="1765"/>
      <c r="C640" s="1916"/>
      <c r="D640" s="1915"/>
      <c r="E640" s="1762"/>
      <c r="F640" s="1761"/>
      <c r="G640" s="1793"/>
      <c r="H640" s="1769" t="s">
        <v>456</v>
      </c>
      <c r="I640" s="1758" t="s">
        <v>194</v>
      </c>
      <c r="J640" s="1756" t="s">
        <v>750</v>
      </c>
      <c r="K640" s="1755"/>
      <c r="L640" s="1757" t="s">
        <v>194</v>
      </c>
      <c r="M640" s="1756" t="s">
        <v>764</v>
      </c>
      <c r="N640" s="1789"/>
      <c r="O640" s="1789"/>
      <c r="P640" s="1789"/>
      <c r="Q640" s="1789"/>
      <c r="R640" s="1789"/>
      <c r="S640" s="1789"/>
      <c r="T640" s="1789"/>
      <c r="U640" s="1789"/>
      <c r="V640" s="1789"/>
      <c r="W640" s="1789"/>
      <c r="X640" s="1918"/>
      <c r="Y640" s="1914"/>
      <c r="Z640" s="1913"/>
      <c r="AA640" s="1913"/>
      <c r="AB640" s="1794"/>
      <c r="AC640" s="1914"/>
      <c r="AD640" s="1913"/>
      <c r="AE640" s="1913"/>
      <c r="AF640" s="1794"/>
      <c r="AI640" s="1735" t="str">
        <f>"51:field212:" &amp; IF(I640="■",1,IF(L640="■",2,0))</f>
        <v>51:field212:0</v>
      </c>
    </row>
    <row r="641" spans="1:36" s="1735" customFormat="1" ht="18.75" customHeight="1">
      <c r="A641" s="1766"/>
      <c r="B641" s="1765"/>
      <c r="C641" s="1916"/>
      <c r="D641" s="1915"/>
      <c r="E641" s="1762"/>
      <c r="F641" s="1761"/>
      <c r="G641" s="1793"/>
      <c r="H641" s="1769" t="s">
        <v>457</v>
      </c>
      <c r="I641" s="1758" t="s">
        <v>194</v>
      </c>
      <c r="J641" s="1756" t="s">
        <v>750</v>
      </c>
      <c r="K641" s="1755"/>
      <c r="L641" s="1757" t="s">
        <v>194</v>
      </c>
      <c r="M641" s="1756" t="s">
        <v>764</v>
      </c>
      <c r="N641" s="1789"/>
      <c r="O641" s="1789"/>
      <c r="P641" s="1789"/>
      <c r="Q641" s="1789"/>
      <c r="R641" s="1789"/>
      <c r="S641" s="1789"/>
      <c r="T641" s="1789"/>
      <c r="U641" s="1789"/>
      <c r="V641" s="1789"/>
      <c r="W641" s="1789"/>
      <c r="X641" s="1918"/>
      <c r="Y641" s="1914"/>
      <c r="Z641" s="1913"/>
      <c r="AA641" s="1913"/>
      <c r="AB641" s="1794"/>
      <c r="AC641" s="1914"/>
      <c r="AD641" s="1913"/>
      <c r="AE641" s="1913"/>
      <c r="AF641" s="1794"/>
      <c r="AI641" s="1735" t="str">
        <f>"51:field209:" &amp; IF(I641="■",1,IF(L641="■",2,0))</f>
        <v>51:field209:0</v>
      </c>
    </row>
    <row r="642" spans="1:36" s="1735" customFormat="1" ht="18.75" customHeight="1">
      <c r="A642" s="1766"/>
      <c r="B642" s="1765"/>
      <c r="C642" s="1916"/>
      <c r="D642" s="1915"/>
      <c r="E642" s="1762"/>
      <c r="F642" s="1761"/>
      <c r="G642" s="1762"/>
      <c r="H642" s="1769" t="s">
        <v>1124</v>
      </c>
      <c r="I642" s="1773" t="s">
        <v>194</v>
      </c>
      <c r="J642" s="1754" t="s">
        <v>750</v>
      </c>
      <c r="K642" s="1754"/>
      <c r="L642" s="1757" t="s">
        <v>194</v>
      </c>
      <c r="M642" s="1756" t="s">
        <v>764</v>
      </c>
      <c r="N642" s="1754"/>
      <c r="O642" s="1754"/>
      <c r="P642" s="1754"/>
      <c r="Q642" s="1789"/>
      <c r="R642" s="1789"/>
      <c r="S642" s="1789"/>
      <c r="T642" s="1789"/>
      <c r="U642" s="1789"/>
      <c r="V642" s="1789"/>
      <c r="W642" s="1789"/>
      <c r="X642" s="1918"/>
      <c r="Y642" s="1914"/>
      <c r="Z642" s="1913"/>
      <c r="AA642" s="1913"/>
      <c r="AB642" s="1794"/>
      <c r="AC642" s="1914"/>
      <c r="AD642" s="1913"/>
      <c r="AE642" s="1913"/>
      <c r="AF642" s="1794"/>
      <c r="AI642" s="1735" t="str">
        <f>"51:field226:" &amp; IF(I642="■",1,IF(L642="■",2,0))</f>
        <v>51:field226:0</v>
      </c>
    </row>
    <row r="643" spans="1:36" s="1735" customFormat="1" ht="18.75" customHeight="1">
      <c r="A643" s="1766"/>
      <c r="B643" s="1765"/>
      <c r="C643" s="1916"/>
      <c r="D643" s="1915"/>
      <c r="E643" s="1762"/>
      <c r="F643" s="1761"/>
      <c r="G643" s="1762"/>
      <c r="H643" s="1769" t="s">
        <v>1125</v>
      </c>
      <c r="I643" s="1773" t="s">
        <v>194</v>
      </c>
      <c r="J643" s="1754" t="s">
        <v>750</v>
      </c>
      <c r="K643" s="1754"/>
      <c r="L643" s="1757" t="s">
        <v>194</v>
      </c>
      <c r="M643" s="1756" t="s">
        <v>764</v>
      </c>
      <c r="N643" s="1754"/>
      <c r="O643" s="1754"/>
      <c r="P643" s="1754"/>
      <c r="Q643" s="1789"/>
      <c r="R643" s="1789"/>
      <c r="S643" s="1789"/>
      <c r="T643" s="1789"/>
      <c r="U643" s="1789"/>
      <c r="V643" s="1789"/>
      <c r="W643" s="1789"/>
      <c r="X643" s="1918"/>
      <c r="Y643" s="1914"/>
      <c r="Z643" s="1913"/>
      <c r="AA643" s="1913"/>
      <c r="AB643" s="1794"/>
      <c r="AC643" s="1914"/>
      <c r="AD643" s="1913"/>
      <c r="AE643" s="1913"/>
      <c r="AF643" s="1794"/>
      <c r="AI643" s="1735" t="str">
        <f>"51:field227:" &amp; IF(I643="■",1,IF(L643="■",2,0))</f>
        <v>51:field227:0</v>
      </c>
    </row>
    <row r="644" spans="1:36" s="1735" customFormat="1" ht="18.75" customHeight="1">
      <c r="A644" s="1766"/>
      <c r="B644" s="1765"/>
      <c r="C644" s="1916"/>
      <c r="D644" s="1915"/>
      <c r="E644" s="1762"/>
      <c r="F644" s="1761"/>
      <c r="G644" s="1793"/>
      <c r="H644" s="1917" t="s">
        <v>794</v>
      </c>
      <c r="I644" s="1773" t="s">
        <v>194</v>
      </c>
      <c r="J644" s="1754" t="s">
        <v>750</v>
      </c>
      <c r="K644" s="1754"/>
      <c r="L644" s="1757" t="s">
        <v>194</v>
      </c>
      <c r="M644" s="1754" t="s">
        <v>784</v>
      </c>
      <c r="N644" s="1754"/>
      <c r="O644" s="1772" t="s">
        <v>194</v>
      </c>
      <c r="P644" s="1754" t="s">
        <v>785</v>
      </c>
      <c r="Q644" s="1768"/>
      <c r="R644" s="1768"/>
      <c r="S644" s="1768"/>
      <c r="T644" s="1768"/>
      <c r="U644" s="1829"/>
      <c r="V644" s="1829"/>
      <c r="W644" s="1829"/>
      <c r="X644" s="1828"/>
      <c r="Y644" s="1914"/>
      <c r="Z644" s="1913"/>
      <c r="AA644" s="1913"/>
      <c r="AB644" s="1794"/>
      <c r="AC644" s="1914"/>
      <c r="AD644" s="1913"/>
      <c r="AE644" s="1913"/>
      <c r="AF644" s="1794"/>
      <c r="AI644" s="1735" t="str">
        <f>"51:field225:" &amp; IF(I644="■",1,IF(L644="■",2,IF(O644="■",3,0)))</f>
        <v>51:field225:0</v>
      </c>
    </row>
    <row r="645" spans="1:36" s="1735" customFormat="1" ht="18.75" customHeight="1">
      <c r="A645" s="1766"/>
      <c r="B645" s="1765"/>
      <c r="C645" s="1916"/>
      <c r="D645" s="1915"/>
      <c r="E645" s="1762"/>
      <c r="F645" s="1761"/>
      <c r="G645" s="1793"/>
      <c r="H645" s="1769" t="s">
        <v>795</v>
      </c>
      <c r="I645" s="1773" t="s">
        <v>194</v>
      </c>
      <c r="J645" s="1754" t="s">
        <v>750</v>
      </c>
      <c r="K645" s="1754"/>
      <c r="L645" s="1757" t="s">
        <v>194</v>
      </c>
      <c r="M645" s="1754" t="s">
        <v>796</v>
      </c>
      <c r="N645" s="1754"/>
      <c r="O645" s="1772" t="s">
        <v>194</v>
      </c>
      <c r="P645" s="1754" t="s">
        <v>797</v>
      </c>
      <c r="Q645" s="1771"/>
      <c r="R645" s="1772" t="s">
        <v>194</v>
      </c>
      <c r="S645" s="1754" t="s">
        <v>798</v>
      </c>
      <c r="T645" s="1754"/>
      <c r="U645" s="1754"/>
      <c r="V645" s="1754"/>
      <c r="W645" s="1754"/>
      <c r="X645" s="1753"/>
      <c r="Y645" s="1914"/>
      <c r="Z645" s="1913"/>
      <c r="AA645" s="1913"/>
      <c r="AB645" s="1794"/>
      <c r="AC645" s="1914"/>
      <c r="AD645" s="1913"/>
      <c r="AE645" s="1913"/>
      <c r="AF645" s="1794"/>
      <c r="AI645" s="1735" t="str">
        <f>"51:serteikyo_kyoka_code:" &amp; IF(I645="■",1,IF(L645="■",6,IF(O645="■",5,IF(R645="■",7,0))))</f>
        <v>51:serteikyo_kyoka_code:0</v>
      </c>
    </row>
    <row r="646" spans="1:36" s="1735" customFormat="1" ht="18.75" customHeight="1">
      <c r="A646" s="1752"/>
      <c r="B646" s="1751"/>
      <c r="C646" s="1750"/>
      <c r="D646" s="1749"/>
      <c r="E646" s="1748"/>
      <c r="F646" s="1747"/>
      <c r="G646" s="1808"/>
      <c r="H646" s="1909" t="s">
        <v>1553</v>
      </c>
      <c r="I646" s="1744" t="s">
        <v>194</v>
      </c>
      <c r="J646" s="1905" t="s">
        <v>750</v>
      </c>
      <c r="K646" s="1905"/>
      <c r="L646" s="1743" t="s">
        <v>194</v>
      </c>
      <c r="M646" s="1905" t="s">
        <v>1552</v>
      </c>
      <c r="N646" s="1908"/>
      <c r="O646" s="1743" t="s">
        <v>194</v>
      </c>
      <c r="P646" s="1907" t="s">
        <v>1551</v>
      </c>
      <c r="Q646" s="1906"/>
      <c r="R646" s="1743" t="s">
        <v>194</v>
      </c>
      <c r="S646" s="1905" t="s">
        <v>1550</v>
      </c>
      <c r="T646" s="1906"/>
      <c r="U646" s="1743" t="s">
        <v>194</v>
      </c>
      <c r="V646" s="1905" t="s">
        <v>1549</v>
      </c>
      <c r="W646" s="1904"/>
      <c r="X646" s="1903"/>
      <c r="Y646" s="1902"/>
      <c r="Z646" s="1902"/>
      <c r="AA646" s="1902"/>
      <c r="AB646" s="1901"/>
      <c r="AC646" s="1961"/>
      <c r="AD646" s="1902"/>
      <c r="AE646" s="1902"/>
      <c r="AF646" s="1901"/>
      <c r="AI646" s="1735" t="str">
        <f>"51:shoguukaizen_code:"&amp;IF(I646="■",1,IF(L646="■",7,IF(O646="■",8,IF(R646="■",9,IF(U646="■","A",0)))))</f>
        <v>51:shoguukaizen_code:0</v>
      </c>
    </row>
    <row r="647" spans="1:36" s="1735" customFormat="1" ht="18.75" hidden="1" customHeight="1">
      <c r="A647" s="1807"/>
      <c r="B647" s="1806"/>
      <c r="C647" s="1934"/>
      <c r="D647" s="1933"/>
      <c r="E647" s="1804"/>
      <c r="F647" s="1803"/>
      <c r="G647" s="1804"/>
      <c r="H647" s="1801" t="s">
        <v>746</v>
      </c>
      <c r="I647" s="1800" t="s">
        <v>194</v>
      </c>
      <c r="J647" s="1799" t="s">
        <v>747</v>
      </c>
      <c r="K647" s="1846"/>
      <c r="L647" s="1845"/>
      <c r="M647" s="1798" t="s">
        <v>194</v>
      </c>
      <c r="N647" s="1799" t="s">
        <v>748</v>
      </c>
      <c r="O647" s="1796"/>
      <c r="P647" s="1846"/>
      <c r="Q647" s="1846"/>
      <c r="R647" s="1846"/>
      <c r="S647" s="1846"/>
      <c r="T647" s="1846"/>
      <c r="U647" s="1846"/>
      <c r="V647" s="1846"/>
      <c r="W647" s="1846"/>
      <c r="X647" s="1960"/>
      <c r="Y647" s="1873" t="s">
        <v>194</v>
      </c>
      <c r="Z647" s="1872" t="s">
        <v>749</v>
      </c>
      <c r="AA647" s="1872"/>
      <c r="AB647" s="1929"/>
      <c r="AC647" s="1959"/>
      <c r="AD647" s="1959"/>
      <c r="AE647" s="1959"/>
      <c r="AF647" s="1959"/>
      <c r="AG647" s="1735" t="str">
        <f>"ser_code = '" &amp; IF(A662="■",52,"") &amp; "'"</f>
        <v>ser_code = ''</v>
      </c>
      <c r="AH647" s="1735" t="str">
        <f>"52:jininkbn_code:" &amp; IF(F662="■",1,IF(F663="■",2,0))</f>
        <v>52:jininkbn_code:0</v>
      </c>
      <c r="AI647" s="1735" t="str">
        <f>"52:yakan_kinmu_code:" &amp; IF(I647="■",1,IF(M647="■",6,0))</f>
        <v>52:yakan_kinmu_code:0</v>
      </c>
      <c r="AJ647" s="1735" t="str">
        <f>"52:field203:" &amp; IF(Y647="■",1,IF(Y648="■",2,0))</f>
        <v>52:field203:0</v>
      </c>
    </row>
    <row r="648" spans="1:36" s="1735" customFormat="1" ht="18.75" hidden="1" customHeight="1">
      <c r="A648" s="1766"/>
      <c r="B648" s="1765"/>
      <c r="C648" s="1916"/>
      <c r="D648" s="1915"/>
      <c r="E648" s="1762"/>
      <c r="F648" s="1761"/>
      <c r="G648" s="1762"/>
      <c r="H648" s="1925" t="s">
        <v>98</v>
      </c>
      <c r="I648" s="1924" t="s">
        <v>194</v>
      </c>
      <c r="J648" s="1923" t="s">
        <v>750</v>
      </c>
      <c r="K648" s="1923"/>
      <c r="L648" s="1785"/>
      <c r="M648" s="1922" t="s">
        <v>194</v>
      </c>
      <c r="N648" s="1923" t="s">
        <v>1568</v>
      </c>
      <c r="O648" s="1923"/>
      <c r="P648" s="1785"/>
      <c r="Q648" s="1922" t="s">
        <v>194</v>
      </c>
      <c r="R648" s="1785" t="s">
        <v>1615</v>
      </c>
      <c r="S648" s="1785"/>
      <c r="T648" s="1785"/>
      <c r="U648" s="1922" t="s">
        <v>194</v>
      </c>
      <c r="V648" s="1785" t="s">
        <v>1614</v>
      </c>
      <c r="W648" s="1785"/>
      <c r="X648" s="1784"/>
      <c r="Y648" s="1776" t="s">
        <v>194</v>
      </c>
      <c r="Z648" s="1738" t="s">
        <v>754</v>
      </c>
      <c r="AA648" s="1913"/>
      <c r="AB648" s="1794"/>
      <c r="AC648" s="1954"/>
      <c r="AD648" s="1954"/>
      <c r="AE648" s="1954"/>
      <c r="AF648" s="1954"/>
      <c r="AG648" s="1735" t="str">
        <f>"52:sisetukbn_code:" &amp; IF(D662="■",1,0)</f>
        <v>52:sisetukbn_code:0</v>
      </c>
      <c r="AI648" s="1735" t="str">
        <f>"52:"&amp;IF(AND(I648="□",M648="□",Q648="□",U648="□",I649="□",M649="□",Q649="□",I650="□"),"ketu_doctor_code:0",IF(I648="■","ketu_doctor_code:1:ketu_kangos_code:1:ketu_kshoku_code:1:ketu_rryoho_code:1:ketu_sryoho_code:1:ketu_ksiensou_code:1:ketu_gengo_code:1",IF(M648="■","ketu_doctor_code:2","ketu_doctor_code:1")
&amp;IF(Q648="■",":ketu_kangos_code:2",":ketu_kangos_code:1")
&amp;IF(U648="■",":ketu_kshoku_code:2",":ketu_kshoku_code:1")
&amp;IF(I649="■",":ketu_rryoho_code:2",":ketu_rryoho_code:1")
&amp;IF(M649="■",":ketu_sryoho_code:2",":ketu_sryoho_code:1")
&amp;IF(Q649="■",":ketu_ksiensou_code:2",":ketu_ksiensou_code:1")
&amp;IF(I650="■",":ketu_gengo_code:2",":ketu_gengo_code:1")))</f>
        <v>52:ketu_doctor_code:0</v>
      </c>
    </row>
    <row r="649" spans="1:36" s="1735" customFormat="1" ht="18.75" hidden="1" customHeight="1">
      <c r="A649" s="1766"/>
      <c r="B649" s="1765"/>
      <c r="C649" s="1916"/>
      <c r="D649" s="1915"/>
      <c r="E649" s="1762"/>
      <c r="F649" s="1761"/>
      <c r="G649" s="1762"/>
      <c r="H649" s="1958"/>
      <c r="I649" s="1776" t="s">
        <v>194</v>
      </c>
      <c r="J649" s="1738" t="s">
        <v>1613</v>
      </c>
      <c r="K649" s="1738"/>
      <c r="L649" s="1734"/>
      <c r="M649" s="1878" t="s">
        <v>194</v>
      </c>
      <c r="N649" s="1738" t="s">
        <v>1612</v>
      </c>
      <c r="O649" s="1738"/>
      <c r="P649" s="1734"/>
      <c r="Q649" s="1878" t="s">
        <v>194</v>
      </c>
      <c r="R649" s="1734" t="s">
        <v>1611</v>
      </c>
      <c r="S649" s="1734"/>
      <c r="T649" s="1734"/>
      <c r="U649" s="1734"/>
      <c r="V649" s="1734"/>
      <c r="W649" s="1734"/>
      <c r="X649" s="1957"/>
      <c r="Y649" s="1914"/>
      <c r="Z649" s="1913"/>
      <c r="AA649" s="1913"/>
      <c r="AB649" s="1794"/>
      <c r="AC649" s="1954"/>
      <c r="AD649" s="1954"/>
      <c r="AE649" s="1954"/>
      <c r="AF649" s="1954"/>
    </row>
    <row r="650" spans="1:36" s="1735" customFormat="1" ht="18.75" hidden="1" customHeight="1">
      <c r="A650" s="1766"/>
      <c r="B650" s="1765"/>
      <c r="C650" s="1916"/>
      <c r="D650" s="1915"/>
      <c r="E650" s="1762"/>
      <c r="F650" s="1761"/>
      <c r="G650" s="1762"/>
      <c r="H650" s="1921"/>
      <c r="I650" s="1758" t="s">
        <v>194</v>
      </c>
      <c r="J650" s="1756" t="s">
        <v>1610</v>
      </c>
      <c r="K650" s="1756"/>
      <c r="L650" s="1780"/>
      <c r="M650" s="1756"/>
      <c r="N650" s="1756"/>
      <c r="O650" s="1756"/>
      <c r="P650" s="1780"/>
      <c r="Q650" s="1756"/>
      <c r="R650" s="1780"/>
      <c r="S650" s="1780"/>
      <c r="T650" s="1780"/>
      <c r="U650" s="1780"/>
      <c r="V650" s="1780"/>
      <c r="W650" s="1780"/>
      <c r="X650" s="1779"/>
      <c r="Y650" s="1914"/>
      <c r="Z650" s="1913"/>
      <c r="AA650" s="1913"/>
      <c r="AB650" s="1794"/>
      <c r="AC650" s="1954"/>
      <c r="AD650" s="1954"/>
      <c r="AE650" s="1954"/>
      <c r="AF650" s="1954"/>
    </row>
    <row r="651" spans="1:36" s="1735" customFormat="1" ht="18.75" hidden="1" customHeight="1">
      <c r="A651" s="1766"/>
      <c r="B651" s="1765"/>
      <c r="C651" s="1916"/>
      <c r="D651" s="1915"/>
      <c r="E651" s="1762"/>
      <c r="F651" s="1761"/>
      <c r="G651" s="1762"/>
      <c r="H651" s="1769" t="s">
        <v>99</v>
      </c>
      <c r="I651" s="1773" t="s">
        <v>194</v>
      </c>
      <c r="J651" s="1754" t="s">
        <v>755</v>
      </c>
      <c r="K651" s="1789"/>
      <c r="L651" s="1791"/>
      <c r="M651" s="1772" t="s">
        <v>194</v>
      </c>
      <c r="N651" s="1754" t="s">
        <v>756</v>
      </c>
      <c r="O651" s="1789"/>
      <c r="P651" s="1789"/>
      <c r="Q651" s="1789"/>
      <c r="R651" s="1789"/>
      <c r="S651" s="1789"/>
      <c r="T651" s="1789"/>
      <c r="U651" s="1789"/>
      <c r="V651" s="1789"/>
      <c r="W651" s="1789"/>
      <c r="X651" s="1918"/>
      <c r="Y651" s="1914"/>
      <c r="Z651" s="1913"/>
      <c r="AA651" s="1913"/>
      <c r="AB651" s="1794"/>
      <c r="AC651" s="1954"/>
      <c r="AD651" s="1954"/>
      <c r="AE651" s="1954"/>
      <c r="AF651" s="1954"/>
      <c r="AI651" s="1735" t="str">
        <f>"52:unitcare_code:" &amp; IF(I651="■",1,IF(M651="■",2,0))</f>
        <v>52:unitcare_code:0</v>
      </c>
    </row>
    <row r="652" spans="1:36" s="1735" customFormat="1" ht="18.75" hidden="1" customHeight="1">
      <c r="A652" s="1766"/>
      <c r="B652" s="1765"/>
      <c r="C652" s="1916"/>
      <c r="D652" s="1915"/>
      <c r="E652" s="1762"/>
      <c r="F652" s="1761"/>
      <c r="G652" s="1762"/>
      <c r="H652" s="1769" t="s">
        <v>757</v>
      </c>
      <c r="I652" s="1773" t="s">
        <v>194</v>
      </c>
      <c r="J652" s="1754" t="s">
        <v>758</v>
      </c>
      <c r="K652" s="1789"/>
      <c r="L652" s="1791"/>
      <c r="M652" s="1772" t="s">
        <v>194</v>
      </c>
      <c r="N652" s="1754" t="s">
        <v>759</v>
      </c>
      <c r="O652" s="1789"/>
      <c r="P652" s="1789"/>
      <c r="Q652" s="1789"/>
      <c r="R652" s="1789"/>
      <c r="S652" s="1789"/>
      <c r="T652" s="1789"/>
      <c r="U652" s="1789"/>
      <c r="V652" s="1789"/>
      <c r="W652" s="1789"/>
      <c r="X652" s="1918"/>
      <c r="Y652" s="1914"/>
      <c r="Z652" s="1913"/>
      <c r="AA652" s="1913"/>
      <c r="AB652" s="1794"/>
      <c r="AC652" s="1954"/>
      <c r="AD652" s="1954"/>
      <c r="AE652" s="1954"/>
      <c r="AF652" s="1954"/>
      <c r="AI652" s="1735" t="str">
        <f>"52:sintaikousoku_code:" &amp; IF(I652="■",1,IF(M652="■",2,0))</f>
        <v>52:sintaikousoku_code:0</v>
      </c>
    </row>
    <row r="653" spans="1:36" s="1735" customFormat="1" ht="18.75" hidden="1" customHeight="1">
      <c r="A653" s="1766"/>
      <c r="B653" s="1765"/>
      <c r="C653" s="1916"/>
      <c r="D653" s="1915"/>
      <c r="E653" s="1762"/>
      <c r="F653" s="1761"/>
      <c r="G653" s="1762"/>
      <c r="H653" s="1769" t="s">
        <v>448</v>
      </c>
      <c r="I653" s="1773" t="s">
        <v>194</v>
      </c>
      <c r="J653" s="1754" t="s">
        <v>758</v>
      </c>
      <c r="K653" s="1789"/>
      <c r="L653" s="1791"/>
      <c r="M653" s="1772" t="s">
        <v>194</v>
      </c>
      <c r="N653" s="1754" t="s">
        <v>759</v>
      </c>
      <c r="O653" s="1789"/>
      <c r="P653" s="1789"/>
      <c r="Q653" s="1789"/>
      <c r="R653" s="1789"/>
      <c r="S653" s="1789"/>
      <c r="T653" s="1789"/>
      <c r="U653" s="1789"/>
      <c r="V653" s="1789"/>
      <c r="W653" s="1789"/>
      <c r="X653" s="1918"/>
      <c r="Y653" s="1914"/>
      <c r="Z653" s="1913"/>
      <c r="AA653" s="1913"/>
      <c r="AB653" s="1794"/>
      <c r="AC653" s="1954"/>
      <c r="AD653" s="1954"/>
      <c r="AE653" s="1954"/>
      <c r="AF653" s="1954"/>
      <c r="AI653" s="1735" t="str">
        <f>"52:field208:" &amp; IF(I653="■",1,IF(M653="■",2,0))</f>
        <v>52:field208:0</v>
      </c>
    </row>
    <row r="654" spans="1:36" s="1735" customFormat="1" ht="19.5" hidden="1" customHeight="1">
      <c r="A654" s="1766"/>
      <c r="B654" s="1765"/>
      <c r="C654" s="1764"/>
      <c r="D654" s="1763"/>
      <c r="E654" s="1762"/>
      <c r="F654" s="1761"/>
      <c r="G654" s="1793"/>
      <c r="H654" s="1792" t="s">
        <v>760</v>
      </c>
      <c r="I654" s="1773" t="s">
        <v>194</v>
      </c>
      <c r="J654" s="1754" t="s">
        <v>758</v>
      </c>
      <c r="K654" s="1789"/>
      <c r="L654" s="1791"/>
      <c r="M654" s="1772" t="s">
        <v>194</v>
      </c>
      <c r="N654" s="1754" t="s">
        <v>761</v>
      </c>
      <c r="O654" s="1920"/>
      <c r="P654" s="1754"/>
      <c r="Q654" s="1768"/>
      <c r="R654" s="1768"/>
      <c r="S654" s="1768"/>
      <c r="T654" s="1768"/>
      <c r="U654" s="1768"/>
      <c r="V654" s="1768"/>
      <c r="W654" s="1768"/>
      <c r="X654" s="1767"/>
      <c r="Y654" s="1913"/>
      <c r="Z654" s="1913"/>
      <c r="AA654" s="1913"/>
      <c r="AB654" s="1794"/>
      <c r="AC654" s="1954"/>
      <c r="AD654" s="1954"/>
      <c r="AE654" s="1954"/>
      <c r="AF654" s="1954"/>
      <c r="AI654" s="1735" t="str">
        <f>"52:field223:" &amp; IF(I654="■",1,IF(M654="■",2,0))</f>
        <v>52:field223:0</v>
      </c>
    </row>
    <row r="655" spans="1:36" s="1735" customFormat="1" ht="19.5" hidden="1" customHeight="1">
      <c r="A655" s="1766"/>
      <c r="B655" s="1765"/>
      <c r="C655" s="1764"/>
      <c r="D655" s="1763"/>
      <c r="E655" s="1762"/>
      <c r="F655" s="1761"/>
      <c r="G655" s="1793"/>
      <c r="H655" s="1792" t="s">
        <v>762</v>
      </c>
      <c r="I655" s="1773" t="s">
        <v>194</v>
      </c>
      <c r="J655" s="1754" t="s">
        <v>758</v>
      </c>
      <c r="K655" s="1789"/>
      <c r="L655" s="1791"/>
      <c r="M655" s="1772" t="s">
        <v>194</v>
      </c>
      <c r="N655" s="1754" t="s">
        <v>761</v>
      </c>
      <c r="O655" s="1920"/>
      <c r="P655" s="1754"/>
      <c r="Q655" s="1768"/>
      <c r="R655" s="1768"/>
      <c r="S655" s="1768"/>
      <c r="T655" s="1768"/>
      <c r="U655" s="1768"/>
      <c r="V655" s="1768"/>
      <c r="W655" s="1768"/>
      <c r="X655" s="1767"/>
      <c r="Y655" s="1913"/>
      <c r="Z655" s="1913"/>
      <c r="AA655" s="1913"/>
      <c r="AB655" s="1794"/>
      <c r="AC655" s="1954"/>
      <c r="AD655" s="1954"/>
      <c r="AE655" s="1954"/>
      <c r="AF655" s="1954"/>
      <c r="AI655" s="1735" t="str">
        <f>"52:field232:" &amp; IF(I655="■",1,IF(M655="■",2,0))</f>
        <v>52:field232:0</v>
      </c>
    </row>
    <row r="656" spans="1:36" s="1735" customFormat="1" ht="37.5" hidden="1" customHeight="1">
      <c r="A656" s="1766"/>
      <c r="B656" s="1765"/>
      <c r="C656" s="1916"/>
      <c r="D656" s="1915"/>
      <c r="E656" s="1762"/>
      <c r="F656" s="1761"/>
      <c r="G656" s="1762"/>
      <c r="H656" s="1759" t="s">
        <v>763</v>
      </c>
      <c r="I656" s="1758" t="s">
        <v>194</v>
      </c>
      <c r="J656" s="1756" t="s">
        <v>750</v>
      </c>
      <c r="K656" s="1755"/>
      <c r="L656" s="1757" t="s">
        <v>194</v>
      </c>
      <c r="M656" s="1756" t="s">
        <v>764</v>
      </c>
      <c r="N656" s="1789"/>
      <c r="O656" s="1754"/>
      <c r="P656" s="1754"/>
      <c r="Q656" s="1754"/>
      <c r="R656" s="1754"/>
      <c r="S656" s="1754"/>
      <c r="T656" s="1754"/>
      <c r="U656" s="1754"/>
      <c r="V656" s="1754"/>
      <c r="W656" s="1754"/>
      <c r="X656" s="1753"/>
      <c r="Y656" s="1914"/>
      <c r="Z656" s="1913"/>
      <c r="AA656" s="1913"/>
      <c r="AB656" s="1794"/>
      <c r="AC656" s="1954"/>
      <c r="AD656" s="1954"/>
      <c r="AE656" s="1954"/>
      <c r="AF656" s="1954"/>
      <c r="AI656" s="1735" t="str">
        <f>"52:field206:" &amp; IF(I656="■",1,IF(L656="■",2,0))</f>
        <v>52:field206:0</v>
      </c>
    </row>
    <row r="657" spans="1:35" s="835" customFormat="1" ht="19.5" hidden="1" customHeight="1">
      <c r="A657" s="338"/>
      <c r="B657" s="833"/>
      <c r="C657" s="341"/>
      <c r="D657" s="834"/>
      <c r="E657" s="836"/>
      <c r="F657" s="832"/>
      <c r="G657" s="385"/>
      <c r="H657" s="1945" t="s">
        <v>1597</v>
      </c>
      <c r="I657" s="1773" t="s">
        <v>194</v>
      </c>
      <c r="J657" s="1941" t="s">
        <v>1595</v>
      </c>
      <c r="K657" s="1944"/>
      <c r="L657" s="1943"/>
      <c r="M657" s="1772" t="s">
        <v>194</v>
      </c>
      <c r="N657" s="1941" t="s">
        <v>1594</v>
      </c>
      <c r="O657" s="1942"/>
      <c r="P657" s="1941"/>
      <c r="Q657" s="1940"/>
      <c r="R657" s="1940"/>
      <c r="S657" s="1940"/>
      <c r="T657" s="1940"/>
      <c r="U657" s="1940"/>
      <c r="V657" s="1940"/>
      <c r="W657" s="1940"/>
      <c r="X657" s="1939"/>
      <c r="Y657" s="557"/>
      <c r="Z657" s="2"/>
      <c r="AA657" s="837"/>
      <c r="AB657" s="339"/>
      <c r="AC657" s="1954"/>
      <c r="AD657" s="1954"/>
      <c r="AE657" s="1954"/>
      <c r="AF657" s="1954"/>
      <c r="AI657" s="1735" t="str">
        <f>"52:field242:" &amp; IF(I657="■",1,IF(M657="■",2,0))</f>
        <v>52:field242:0</v>
      </c>
    </row>
    <row r="658" spans="1:35" s="1735" customFormat="1" ht="18.75" hidden="1" customHeight="1">
      <c r="A658" s="1766"/>
      <c r="B658" s="1765"/>
      <c r="C658" s="1916"/>
      <c r="D658" s="1915"/>
      <c r="E658" s="1762"/>
      <c r="F658" s="1761"/>
      <c r="G658" s="1762"/>
      <c r="H658" s="1769" t="s">
        <v>768</v>
      </c>
      <c r="I658" s="1758" t="s">
        <v>194</v>
      </c>
      <c r="J658" s="1756" t="s">
        <v>750</v>
      </c>
      <c r="K658" s="1755"/>
      <c r="L658" s="1757" t="s">
        <v>194</v>
      </c>
      <c r="M658" s="1756" t="s">
        <v>764</v>
      </c>
      <c r="N658" s="1789"/>
      <c r="O658" s="1754"/>
      <c r="P658" s="1754"/>
      <c r="Q658" s="1754"/>
      <c r="R658" s="1754"/>
      <c r="S658" s="1754"/>
      <c r="T658" s="1754"/>
      <c r="U658" s="1754"/>
      <c r="V658" s="1754"/>
      <c r="W658" s="1754"/>
      <c r="X658" s="1753"/>
      <c r="Y658" s="1914"/>
      <c r="Z658" s="1913"/>
      <c r="AA658" s="1913"/>
      <c r="AB658" s="1794"/>
      <c r="AC658" s="1954"/>
      <c r="AD658" s="1954"/>
      <c r="AE658" s="1954"/>
      <c r="AF658" s="1954"/>
      <c r="AI658" s="1735" t="str">
        <f>"52:yakinhaiti_code:" &amp; IF(I658="■",1,IF(L658="■",2,0))</f>
        <v>52:yakinhaiti_code:0</v>
      </c>
    </row>
    <row r="659" spans="1:35" s="1735" customFormat="1" ht="18.75" hidden="1" customHeight="1">
      <c r="A659" s="1766"/>
      <c r="B659" s="1765"/>
      <c r="C659" s="1916"/>
      <c r="D659" s="1915"/>
      <c r="E659" s="1762"/>
      <c r="F659" s="1761"/>
      <c r="G659" s="1762"/>
      <c r="H659" s="1769" t="s">
        <v>1627</v>
      </c>
      <c r="I659" s="1758" t="s">
        <v>194</v>
      </c>
      <c r="J659" s="1756" t="s">
        <v>750</v>
      </c>
      <c r="K659" s="1755"/>
      <c r="L659" s="1757" t="s">
        <v>194</v>
      </c>
      <c r="M659" s="1756" t="s">
        <v>764</v>
      </c>
      <c r="N659" s="1789"/>
      <c r="O659" s="1754"/>
      <c r="P659" s="1754"/>
      <c r="Q659" s="1754"/>
      <c r="R659" s="1754"/>
      <c r="S659" s="1754"/>
      <c r="T659" s="1754"/>
      <c r="U659" s="1754"/>
      <c r="V659" s="1754"/>
      <c r="W659" s="1754"/>
      <c r="X659" s="1753"/>
      <c r="Y659" s="1914"/>
      <c r="Z659" s="1913"/>
      <c r="AA659" s="1913"/>
      <c r="AB659" s="1794"/>
      <c r="AC659" s="1954"/>
      <c r="AD659" s="1954"/>
      <c r="AE659" s="1954"/>
      <c r="AF659" s="1954"/>
      <c r="AI659" s="1735" t="str">
        <f>"52:ninti_riha_code:" &amp; IF(I659="■",1,IF(L659="■",2,0))</f>
        <v>52:ninti_riha_code:0</v>
      </c>
    </row>
    <row r="660" spans="1:35" s="1735" customFormat="1" ht="18.75" hidden="1" customHeight="1">
      <c r="A660" s="1766"/>
      <c r="B660" s="1765"/>
      <c r="C660" s="1916"/>
      <c r="D660" s="1915"/>
      <c r="E660" s="1762"/>
      <c r="F660" s="1761"/>
      <c r="G660" s="1762"/>
      <c r="H660" s="1769" t="s">
        <v>1607</v>
      </c>
      <c r="I660" s="1758" t="s">
        <v>194</v>
      </c>
      <c r="J660" s="1756" t="s">
        <v>750</v>
      </c>
      <c r="K660" s="1755"/>
      <c r="L660" s="1757" t="s">
        <v>194</v>
      </c>
      <c r="M660" s="1756" t="s">
        <v>764</v>
      </c>
      <c r="N660" s="1789"/>
      <c r="O660" s="1789"/>
      <c r="P660" s="1789"/>
      <c r="Q660" s="1789"/>
      <c r="R660" s="1789"/>
      <c r="S660" s="1789"/>
      <c r="T660" s="1789"/>
      <c r="U660" s="1789"/>
      <c r="V660" s="1789"/>
      <c r="W660" s="1789"/>
      <c r="X660" s="1918"/>
      <c r="Y660" s="1914"/>
      <c r="Z660" s="1913"/>
      <c r="AA660" s="1913"/>
      <c r="AB660" s="1794"/>
      <c r="AC660" s="1954"/>
      <c r="AD660" s="1954"/>
      <c r="AE660" s="1954"/>
      <c r="AF660" s="1954"/>
      <c r="AI660" s="1735" t="str">
        <f>"52:ninticare_code:" &amp; IF(I660="■",1,IF(L660="■",2,0))</f>
        <v>52:ninticare_code:0</v>
      </c>
    </row>
    <row r="661" spans="1:35" s="1735" customFormat="1" ht="18.75" hidden="1" customHeight="1">
      <c r="A661" s="1766"/>
      <c r="B661" s="1765"/>
      <c r="C661" s="1916"/>
      <c r="D661" s="1915"/>
      <c r="E661" s="1762"/>
      <c r="F661" s="1761"/>
      <c r="G661" s="1762"/>
      <c r="H661" s="1955" t="s">
        <v>782</v>
      </c>
      <c r="I661" s="1758" t="s">
        <v>194</v>
      </c>
      <c r="J661" s="1756" t="s">
        <v>750</v>
      </c>
      <c r="K661" s="1755"/>
      <c r="L661" s="1757" t="s">
        <v>194</v>
      </c>
      <c r="M661" s="1756" t="s">
        <v>764</v>
      </c>
      <c r="N661" s="1789"/>
      <c r="O661" s="1789"/>
      <c r="P661" s="1789"/>
      <c r="Q661" s="1789"/>
      <c r="R661" s="1789"/>
      <c r="S661" s="1789"/>
      <c r="T661" s="1789"/>
      <c r="U661" s="1789"/>
      <c r="V661" s="1789"/>
      <c r="W661" s="1789"/>
      <c r="X661" s="1918"/>
      <c r="Y661" s="1914"/>
      <c r="Z661" s="1913"/>
      <c r="AA661" s="1913"/>
      <c r="AB661" s="1794"/>
      <c r="AC661" s="1954"/>
      <c r="AD661" s="1954"/>
      <c r="AE661" s="1954"/>
      <c r="AF661" s="1954"/>
      <c r="AI661" s="1735" t="str">
        <f>"52:jyakuninti_uke_code:" &amp; IF(I661="■",1,IF(L661="■",2,0))</f>
        <v>52:jyakuninti_uke_code:0</v>
      </c>
    </row>
    <row r="662" spans="1:35" s="1735" customFormat="1" ht="18.75" hidden="1" customHeight="1">
      <c r="A662" s="1776" t="s">
        <v>194</v>
      </c>
      <c r="B662" s="1765">
        <v>52</v>
      </c>
      <c r="C662" s="1916" t="s">
        <v>1634</v>
      </c>
      <c r="D662" s="1776" t="s">
        <v>194</v>
      </c>
      <c r="E662" s="1762" t="s">
        <v>1635</v>
      </c>
      <c r="F662" s="1776" t="s">
        <v>194</v>
      </c>
      <c r="G662" s="1762" t="s">
        <v>1632</v>
      </c>
      <c r="H662" s="1955" t="s">
        <v>1631</v>
      </c>
      <c r="I662" s="1773" t="s">
        <v>194</v>
      </c>
      <c r="J662" s="1754" t="s">
        <v>750</v>
      </c>
      <c r="K662" s="1754"/>
      <c r="L662" s="1772" t="s">
        <v>194</v>
      </c>
      <c r="M662" s="1754" t="s">
        <v>784</v>
      </c>
      <c r="N662" s="1754"/>
      <c r="O662" s="1772" t="s">
        <v>194</v>
      </c>
      <c r="P662" s="1754" t="s">
        <v>785</v>
      </c>
      <c r="Q662" s="1789"/>
      <c r="R662" s="1789"/>
      <c r="S662" s="1754"/>
      <c r="T662" s="1754"/>
      <c r="U662" s="1754"/>
      <c r="V662" s="1754"/>
      <c r="W662" s="1754"/>
      <c r="X662" s="1753"/>
      <c r="Y662" s="1914"/>
      <c r="Z662" s="1913"/>
      <c r="AA662" s="1913"/>
      <c r="AB662" s="1794"/>
      <c r="AC662" s="1954"/>
      <c r="AD662" s="1954"/>
      <c r="AE662" s="1954"/>
      <c r="AF662" s="1954"/>
      <c r="AI662" s="1735" t="str">
        <f>"52:zaitaku_hukki_code:" &amp; IF(I662="■",1,IF(L662="■",2,IF(O662="■",3,0)))</f>
        <v>52:zaitaku_hukki_code:0</v>
      </c>
    </row>
    <row r="663" spans="1:35" s="1735" customFormat="1" ht="18.75" hidden="1" customHeight="1">
      <c r="A663" s="1766"/>
      <c r="B663" s="1765"/>
      <c r="C663" s="1916"/>
      <c r="D663" s="1915"/>
      <c r="E663" s="1762"/>
      <c r="F663" s="1776" t="s">
        <v>194</v>
      </c>
      <c r="G663" s="1762" t="s">
        <v>1630</v>
      </c>
      <c r="H663" s="1769" t="s">
        <v>1606</v>
      </c>
      <c r="I663" s="1758" t="s">
        <v>194</v>
      </c>
      <c r="J663" s="1756" t="s">
        <v>750</v>
      </c>
      <c r="K663" s="1755"/>
      <c r="L663" s="1757" t="s">
        <v>194</v>
      </c>
      <c r="M663" s="1756" t="s">
        <v>764</v>
      </c>
      <c r="N663" s="1789"/>
      <c r="O663" s="1789"/>
      <c r="P663" s="1789"/>
      <c r="Q663" s="1789"/>
      <c r="R663" s="1789"/>
      <c r="S663" s="1789"/>
      <c r="T663" s="1789"/>
      <c r="U663" s="1789"/>
      <c r="V663" s="1789"/>
      <c r="W663" s="1789"/>
      <c r="X663" s="1918"/>
      <c r="Y663" s="1914"/>
      <c r="Z663" s="1913"/>
      <c r="AA663" s="1913"/>
      <c r="AB663" s="1794"/>
      <c r="AC663" s="1954"/>
      <c r="AD663" s="1954"/>
      <c r="AE663" s="1954"/>
      <c r="AF663" s="1954"/>
      <c r="AI663" s="1735" t="str">
        <f>"52:terminal_code:" &amp; IF(I663="■",1,IF(L663="■",2,0))</f>
        <v>52:terminal_code:0</v>
      </c>
    </row>
    <row r="664" spans="1:35" s="1735" customFormat="1" ht="18.75" hidden="1" customHeight="1">
      <c r="A664" s="1766"/>
      <c r="B664" s="1765"/>
      <c r="C664" s="1916"/>
      <c r="D664" s="1915"/>
      <c r="E664" s="1762"/>
      <c r="F664" s="1915"/>
      <c r="G664" s="1762"/>
      <c r="H664" s="1769" t="s">
        <v>786</v>
      </c>
      <c r="I664" s="1758" t="s">
        <v>194</v>
      </c>
      <c r="J664" s="1756" t="s">
        <v>750</v>
      </c>
      <c r="K664" s="1755"/>
      <c r="L664" s="1757" t="s">
        <v>194</v>
      </c>
      <c r="M664" s="1756" t="s">
        <v>764</v>
      </c>
      <c r="N664" s="1789"/>
      <c r="O664" s="1789"/>
      <c r="P664" s="1789"/>
      <c r="Q664" s="1789"/>
      <c r="R664" s="1789"/>
      <c r="S664" s="1789"/>
      <c r="T664" s="1789"/>
      <c r="U664" s="1789"/>
      <c r="V664" s="1789"/>
      <c r="W664" s="1789"/>
      <c r="X664" s="1918"/>
      <c r="Y664" s="1914"/>
      <c r="Z664" s="1913"/>
      <c r="AA664" s="1913"/>
      <c r="AB664" s="1794"/>
      <c r="AC664" s="1954"/>
      <c r="AD664" s="1954"/>
      <c r="AE664" s="1954"/>
      <c r="AF664" s="1954"/>
      <c r="AI664" s="1735" t="str">
        <f>"52:field207:" &amp; IF(I664="■",1,IF(L664="■",2,0))</f>
        <v>52:field207:0</v>
      </c>
    </row>
    <row r="665" spans="1:35" s="1735" customFormat="1" ht="18.75" hidden="1" customHeight="1">
      <c r="A665" s="1766"/>
      <c r="B665" s="1765"/>
      <c r="C665" s="1916"/>
      <c r="D665" s="1915"/>
      <c r="E665" s="1762"/>
      <c r="F665" s="1915"/>
      <c r="G665" s="1762"/>
      <c r="H665" s="1769" t="s">
        <v>787</v>
      </c>
      <c r="I665" s="1758" t="s">
        <v>194</v>
      </c>
      <c r="J665" s="1756" t="s">
        <v>750</v>
      </c>
      <c r="K665" s="1755"/>
      <c r="L665" s="1757" t="s">
        <v>194</v>
      </c>
      <c r="M665" s="1756" t="s">
        <v>764</v>
      </c>
      <c r="N665" s="1789"/>
      <c r="O665" s="1754"/>
      <c r="P665" s="1754"/>
      <c r="Q665" s="1754"/>
      <c r="R665" s="1754"/>
      <c r="S665" s="1754"/>
      <c r="T665" s="1754"/>
      <c r="U665" s="1754"/>
      <c r="V665" s="1754"/>
      <c r="W665" s="1754"/>
      <c r="X665" s="1753"/>
      <c r="Y665" s="1914"/>
      <c r="Z665" s="1913"/>
      <c r="AA665" s="1913"/>
      <c r="AB665" s="1794"/>
      <c r="AC665" s="1954"/>
      <c r="AD665" s="1954"/>
      <c r="AE665" s="1954"/>
      <c r="AF665" s="1954"/>
      <c r="AI665" s="1735" t="str">
        <f>"52:ryouyoushoku_code:" &amp; IF(I665="■",1,IF(L665="■",2,0))</f>
        <v>52:ryouyoushoku_code:0</v>
      </c>
    </row>
    <row r="666" spans="1:35" s="1735" customFormat="1" ht="18.75" hidden="1" customHeight="1">
      <c r="A666" s="1766"/>
      <c r="B666" s="1765"/>
      <c r="C666" s="1916"/>
      <c r="D666" s="1915"/>
      <c r="E666" s="1762"/>
      <c r="F666" s="1761"/>
      <c r="G666" s="1762"/>
      <c r="H666" s="1769" t="s">
        <v>791</v>
      </c>
      <c r="I666" s="1773" t="s">
        <v>194</v>
      </c>
      <c r="J666" s="1754" t="s">
        <v>750</v>
      </c>
      <c r="K666" s="1754"/>
      <c r="L666" s="1772" t="s">
        <v>194</v>
      </c>
      <c r="M666" s="1754" t="s">
        <v>784</v>
      </c>
      <c r="N666" s="1754"/>
      <c r="O666" s="1772" t="s">
        <v>194</v>
      </c>
      <c r="P666" s="1754" t="s">
        <v>785</v>
      </c>
      <c r="Q666" s="1789"/>
      <c r="R666" s="1789"/>
      <c r="S666" s="1754"/>
      <c r="T666" s="1754"/>
      <c r="U666" s="1754"/>
      <c r="V666" s="1754"/>
      <c r="W666" s="1754"/>
      <c r="X666" s="1753"/>
      <c r="Y666" s="1914"/>
      <c r="Z666" s="1913"/>
      <c r="AA666" s="1913"/>
      <c r="AB666" s="1794"/>
      <c r="AC666" s="1954"/>
      <c r="AD666" s="1954"/>
      <c r="AE666" s="1954"/>
      <c r="AF666" s="1954"/>
      <c r="AI666" s="1735" t="str">
        <f>"52:ninti_senmoncare_code:" &amp; IF(I666="■",1,IF(O666="■",3,IF(L666="■",2,0)))</f>
        <v>52:ninti_senmoncare_code:0</v>
      </c>
    </row>
    <row r="667" spans="1:35" s="1735" customFormat="1" ht="18.75" hidden="1" customHeight="1">
      <c r="A667" s="1766"/>
      <c r="B667" s="1765"/>
      <c r="C667" s="1916"/>
      <c r="D667" s="1915"/>
      <c r="E667" s="1762"/>
      <c r="F667" s="1761"/>
      <c r="G667" s="1762"/>
      <c r="H667" s="1769" t="s">
        <v>792</v>
      </c>
      <c r="I667" s="1773" t="s">
        <v>194</v>
      </c>
      <c r="J667" s="1754" t="s">
        <v>750</v>
      </c>
      <c r="K667" s="1754"/>
      <c r="L667" s="1772" t="s">
        <v>194</v>
      </c>
      <c r="M667" s="1754" t="s">
        <v>784</v>
      </c>
      <c r="N667" s="1754"/>
      <c r="O667" s="1772" t="s">
        <v>194</v>
      </c>
      <c r="P667" s="1754" t="s">
        <v>785</v>
      </c>
      <c r="Q667" s="1789"/>
      <c r="R667" s="1789"/>
      <c r="S667" s="1789"/>
      <c r="T667" s="1789"/>
      <c r="U667" s="1789"/>
      <c r="V667" s="1789"/>
      <c r="W667" s="1789"/>
      <c r="X667" s="1918"/>
      <c r="Y667" s="1914"/>
      <c r="Z667" s="1913"/>
      <c r="AA667" s="1913"/>
      <c r="AB667" s="1794"/>
      <c r="AC667" s="1954"/>
      <c r="AD667" s="1954"/>
      <c r="AE667" s="1954"/>
      <c r="AF667" s="1954"/>
      <c r="AI667" s="1735" t="str">
        <f>"52:field228:" &amp; IF(I667="■",1,IF(L667="■",2,IF(O667="■",3,0)))</f>
        <v>52:field228:0</v>
      </c>
    </row>
    <row r="668" spans="1:35" s="1735" customFormat="1" ht="18.75" hidden="1" customHeight="1">
      <c r="A668" s="1766"/>
      <c r="B668" s="1765"/>
      <c r="C668" s="1916"/>
      <c r="D668" s="1915"/>
      <c r="E668" s="1762"/>
      <c r="F668" s="1761"/>
      <c r="G668" s="1762"/>
      <c r="H668" s="1777" t="s">
        <v>1617</v>
      </c>
      <c r="I668" s="1758" t="s">
        <v>194</v>
      </c>
      <c r="J668" s="1756" t="s">
        <v>750</v>
      </c>
      <c r="K668" s="1755"/>
      <c r="L668" s="1772" t="s">
        <v>194</v>
      </c>
      <c r="M668" s="1754" t="s">
        <v>773</v>
      </c>
      <c r="N668" s="1754"/>
      <c r="O668" s="1772" t="s">
        <v>194</v>
      </c>
      <c r="P668" s="1754" t="s">
        <v>774</v>
      </c>
      <c r="Q668" s="1789"/>
      <c r="R668" s="1789"/>
      <c r="S668" s="1789"/>
      <c r="T668" s="1789"/>
      <c r="U668" s="1789"/>
      <c r="V668" s="1789"/>
      <c r="W668" s="1789"/>
      <c r="X668" s="1918"/>
      <c r="Y668" s="1914"/>
      <c r="Z668" s="1913"/>
      <c r="AA668" s="1913"/>
      <c r="AB668" s="1794"/>
      <c r="AC668" s="1954"/>
      <c r="AD668" s="1954"/>
      <c r="AE668" s="1954"/>
      <c r="AF668" s="1954"/>
      <c r="AI668" s="1735" t="str">
        <f>"52:field216:" &amp; IF(I668="■",1,IF(L668="■",2,IF(O668="■",3,0)))</f>
        <v>52:field216:0</v>
      </c>
    </row>
    <row r="669" spans="1:35" s="1735" customFormat="1" ht="18.75" hidden="1" customHeight="1">
      <c r="A669" s="1766"/>
      <c r="B669" s="1765"/>
      <c r="C669" s="1916"/>
      <c r="D669" s="1915"/>
      <c r="E669" s="1762"/>
      <c r="F669" s="1761"/>
      <c r="G669" s="1762"/>
      <c r="H669" s="1769" t="s">
        <v>793</v>
      </c>
      <c r="I669" s="1758" t="s">
        <v>194</v>
      </c>
      <c r="J669" s="1756" t="s">
        <v>750</v>
      </c>
      <c r="K669" s="1755"/>
      <c r="L669" s="1757" t="s">
        <v>194</v>
      </c>
      <c r="M669" s="1756" t="s">
        <v>764</v>
      </c>
      <c r="N669" s="1789"/>
      <c r="O669" s="1789"/>
      <c r="P669" s="1789"/>
      <c r="Q669" s="1789"/>
      <c r="R669" s="1789"/>
      <c r="S669" s="1789"/>
      <c r="T669" s="1789"/>
      <c r="U669" s="1789"/>
      <c r="V669" s="1789"/>
      <c r="W669" s="1789"/>
      <c r="X669" s="1918"/>
      <c r="Y669" s="1914"/>
      <c r="Z669" s="1913"/>
      <c r="AA669" s="1913"/>
      <c r="AB669" s="1794"/>
      <c r="AC669" s="1954"/>
      <c r="AD669" s="1954"/>
      <c r="AE669" s="1954"/>
      <c r="AF669" s="1954"/>
      <c r="AI669" s="1735" t="str">
        <f>"52:field177:" &amp; IF(I669="■",1,IF(L669="■",2,0))</f>
        <v>52:field177:0</v>
      </c>
    </row>
    <row r="670" spans="1:35" s="1735" customFormat="1" ht="18.75" hidden="1" customHeight="1">
      <c r="A670" s="1766"/>
      <c r="B670" s="1765"/>
      <c r="C670" s="1916"/>
      <c r="D670" s="1915"/>
      <c r="E670" s="1762"/>
      <c r="F670" s="1761"/>
      <c r="G670" s="1762"/>
      <c r="H670" s="1777" t="s">
        <v>454</v>
      </c>
      <c r="I670" s="1758" t="s">
        <v>194</v>
      </c>
      <c r="J670" s="1756" t="s">
        <v>750</v>
      </c>
      <c r="K670" s="1755"/>
      <c r="L670" s="1757" t="s">
        <v>194</v>
      </c>
      <c r="M670" s="1756" t="s">
        <v>764</v>
      </c>
      <c r="N670" s="1789"/>
      <c r="O670" s="1789"/>
      <c r="P670" s="1789"/>
      <c r="Q670" s="1789"/>
      <c r="R670" s="1789"/>
      <c r="S670" s="1789"/>
      <c r="T670" s="1789"/>
      <c r="U670" s="1789"/>
      <c r="V670" s="1789"/>
      <c r="W670" s="1789"/>
      <c r="X670" s="1918"/>
      <c r="Y670" s="1914"/>
      <c r="Z670" s="1913"/>
      <c r="AA670" s="1913"/>
      <c r="AB670" s="1794"/>
      <c r="AC670" s="1954"/>
      <c r="AD670" s="1954"/>
      <c r="AE670" s="1954"/>
      <c r="AF670" s="1954"/>
      <c r="AI670" s="1735" t="str">
        <f>"52:field210:" &amp; IF(I670="■",1,IF(L670="■",2,0))</f>
        <v>52:field210:0</v>
      </c>
    </row>
    <row r="671" spans="1:35" s="1735" customFormat="1" ht="18.75" hidden="1" customHeight="1">
      <c r="A671" s="1766"/>
      <c r="B671" s="1765"/>
      <c r="C671" s="1916"/>
      <c r="D671" s="1915"/>
      <c r="E671" s="1762"/>
      <c r="F671" s="1761"/>
      <c r="G671" s="1762"/>
      <c r="H671" s="1769" t="s">
        <v>455</v>
      </c>
      <c r="I671" s="1758" t="s">
        <v>194</v>
      </c>
      <c r="J671" s="1756" t="s">
        <v>750</v>
      </c>
      <c r="K671" s="1755"/>
      <c r="L671" s="1757" t="s">
        <v>194</v>
      </c>
      <c r="M671" s="1756" t="s">
        <v>764</v>
      </c>
      <c r="N671" s="1789"/>
      <c r="O671" s="1789"/>
      <c r="P671" s="1789"/>
      <c r="Q671" s="1789"/>
      <c r="R671" s="1789"/>
      <c r="S671" s="1789"/>
      <c r="T671" s="1789"/>
      <c r="U671" s="1789"/>
      <c r="V671" s="1789"/>
      <c r="W671" s="1789"/>
      <c r="X671" s="1918"/>
      <c r="Y671" s="1914"/>
      <c r="Z671" s="1913"/>
      <c r="AA671" s="1913"/>
      <c r="AB671" s="1794"/>
      <c r="AC671" s="1954"/>
      <c r="AD671" s="1954"/>
      <c r="AE671" s="1954"/>
      <c r="AF671" s="1954"/>
      <c r="AI671" s="1735" t="str">
        <f>"52:field211:" &amp; IF(I671="■",1,IF(L671="■",2,0))</f>
        <v>52:field211:0</v>
      </c>
    </row>
    <row r="672" spans="1:35" s="1735" customFormat="1" ht="18.75" hidden="1" customHeight="1">
      <c r="A672" s="1766"/>
      <c r="B672" s="1765"/>
      <c r="C672" s="1916"/>
      <c r="D672" s="1915"/>
      <c r="E672" s="1762"/>
      <c r="F672" s="1761"/>
      <c r="G672" s="1762"/>
      <c r="H672" s="1769" t="s">
        <v>456</v>
      </c>
      <c r="I672" s="1758" t="s">
        <v>194</v>
      </c>
      <c r="J672" s="1756" t="s">
        <v>750</v>
      </c>
      <c r="K672" s="1755"/>
      <c r="L672" s="1757" t="s">
        <v>194</v>
      </c>
      <c r="M672" s="1756" t="s">
        <v>764</v>
      </c>
      <c r="N672" s="1789"/>
      <c r="O672" s="1789"/>
      <c r="P672" s="1789"/>
      <c r="Q672" s="1789"/>
      <c r="R672" s="1789"/>
      <c r="S672" s="1789"/>
      <c r="T672" s="1789"/>
      <c r="U672" s="1789"/>
      <c r="V672" s="1789"/>
      <c r="W672" s="1789"/>
      <c r="X672" s="1918"/>
      <c r="Y672" s="1914"/>
      <c r="Z672" s="1913"/>
      <c r="AA672" s="1913"/>
      <c r="AB672" s="1794"/>
      <c r="AC672" s="1954"/>
      <c r="AD672" s="1954"/>
      <c r="AE672" s="1954"/>
      <c r="AF672" s="1954"/>
      <c r="AI672" s="1735" t="str">
        <f>"52:field212:" &amp; IF(I672="■",1,IF(L672="■",2,0))</f>
        <v>52:field212:0</v>
      </c>
    </row>
    <row r="673" spans="1:36" s="1735" customFormat="1" ht="18.75" hidden="1" customHeight="1">
      <c r="A673" s="1766"/>
      <c r="B673" s="1765"/>
      <c r="C673" s="1916"/>
      <c r="D673" s="1915"/>
      <c r="E673" s="1762"/>
      <c r="F673" s="1761"/>
      <c r="G673" s="1762"/>
      <c r="H673" s="1769" t="s">
        <v>457</v>
      </c>
      <c r="I673" s="1758" t="s">
        <v>194</v>
      </c>
      <c r="J673" s="1756" t="s">
        <v>750</v>
      </c>
      <c r="K673" s="1755"/>
      <c r="L673" s="1757" t="s">
        <v>194</v>
      </c>
      <c r="M673" s="1756" t="s">
        <v>764</v>
      </c>
      <c r="N673" s="1789"/>
      <c r="O673" s="1789"/>
      <c r="P673" s="1789"/>
      <c r="Q673" s="1789"/>
      <c r="R673" s="1789"/>
      <c r="S673" s="1789"/>
      <c r="T673" s="1789"/>
      <c r="U673" s="1789"/>
      <c r="V673" s="1789"/>
      <c r="W673" s="1789"/>
      <c r="X673" s="1918"/>
      <c r="Y673" s="1914"/>
      <c r="Z673" s="1913"/>
      <c r="AA673" s="1913"/>
      <c r="AB673" s="1794"/>
      <c r="AC673" s="1954"/>
      <c r="AD673" s="1954"/>
      <c r="AE673" s="1954"/>
      <c r="AF673" s="1954"/>
      <c r="AI673" s="1735" t="str">
        <f>"52:field209:" &amp; IF(I673="■",1,IF(L673="■",2,0))</f>
        <v>52:field209:0</v>
      </c>
    </row>
    <row r="674" spans="1:36" s="1735" customFormat="1" ht="18.75" hidden="1" customHeight="1">
      <c r="A674" s="1766"/>
      <c r="B674" s="1765"/>
      <c r="C674" s="1916"/>
      <c r="D674" s="1915"/>
      <c r="E674" s="1762"/>
      <c r="F674" s="1761"/>
      <c r="G674" s="1762"/>
      <c r="H674" s="1769" t="s">
        <v>1124</v>
      </c>
      <c r="I674" s="1773" t="s">
        <v>194</v>
      </c>
      <c r="J674" s="1754" t="s">
        <v>750</v>
      </c>
      <c r="K674" s="1754"/>
      <c r="L674" s="1772" t="s">
        <v>194</v>
      </c>
      <c r="M674" s="1756" t="s">
        <v>764</v>
      </c>
      <c r="N674" s="1754"/>
      <c r="O674" s="1754"/>
      <c r="P674" s="1754"/>
      <c r="Q674" s="1789"/>
      <c r="R674" s="1789"/>
      <c r="S674" s="1789"/>
      <c r="T674" s="1789"/>
      <c r="U674" s="1789"/>
      <c r="V674" s="1789"/>
      <c r="W674" s="1789"/>
      <c r="X674" s="1918"/>
      <c r="Y674" s="1914"/>
      <c r="Z674" s="1913"/>
      <c r="AA674" s="1913"/>
      <c r="AB674" s="1794"/>
      <c r="AC674" s="1954"/>
      <c r="AD674" s="1954"/>
      <c r="AE674" s="1954"/>
      <c r="AF674" s="1954"/>
      <c r="AI674" s="1735" t="str">
        <f>"52:field226:" &amp; IF(I674="■",1,IF(L674="■",2,0))</f>
        <v>52:field226:0</v>
      </c>
    </row>
    <row r="675" spans="1:36" s="1735" customFormat="1" ht="18.75" hidden="1" customHeight="1">
      <c r="A675" s="1766"/>
      <c r="B675" s="1765"/>
      <c r="C675" s="1916"/>
      <c r="D675" s="1915"/>
      <c r="E675" s="1762"/>
      <c r="F675" s="1761"/>
      <c r="G675" s="1762"/>
      <c r="H675" s="1769" t="s">
        <v>1125</v>
      </c>
      <c r="I675" s="1773" t="s">
        <v>194</v>
      </c>
      <c r="J675" s="1754" t="s">
        <v>750</v>
      </c>
      <c r="K675" s="1754"/>
      <c r="L675" s="1772" t="s">
        <v>194</v>
      </c>
      <c r="M675" s="1756" t="s">
        <v>764</v>
      </c>
      <c r="N675" s="1754"/>
      <c r="O675" s="1754"/>
      <c r="P675" s="1754"/>
      <c r="Q675" s="1789"/>
      <c r="R675" s="1789"/>
      <c r="S675" s="1789"/>
      <c r="T675" s="1789"/>
      <c r="U675" s="1789"/>
      <c r="V675" s="1789"/>
      <c r="W675" s="1789"/>
      <c r="X675" s="1918"/>
      <c r="Y675" s="1914"/>
      <c r="Z675" s="1913"/>
      <c r="AA675" s="1913"/>
      <c r="AB675" s="1794"/>
      <c r="AC675" s="1954"/>
      <c r="AD675" s="1954"/>
      <c r="AE675" s="1954"/>
      <c r="AF675" s="1954"/>
      <c r="AI675" s="1735" t="str">
        <f>"52:field227:" &amp; IF(I675="■",1,IF(L675="■",2,0))</f>
        <v>52:field227:0</v>
      </c>
    </row>
    <row r="676" spans="1:36" s="1735" customFormat="1" ht="18.75" hidden="1" customHeight="1">
      <c r="A676" s="1766"/>
      <c r="B676" s="1765"/>
      <c r="C676" s="1916"/>
      <c r="D676" s="1915"/>
      <c r="E676" s="1762"/>
      <c r="F676" s="1761"/>
      <c r="G676" s="1762"/>
      <c r="H676" s="1917" t="s">
        <v>794</v>
      </c>
      <c r="I676" s="1773" t="s">
        <v>194</v>
      </c>
      <c r="J676" s="1754" t="s">
        <v>750</v>
      </c>
      <c r="K676" s="1754"/>
      <c r="L676" s="1772" t="s">
        <v>194</v>
      </c>
      <c r="M676" s="1754" t="s">
        <v>784</v>
      </c>
      <c r="N676" s="1754"/>
      <c r="O676" s="1772" t="s">
        <v>194</v>
      </c>
      <c r="P676" s="1754" t="s">
        <v>785</v>
      </c>
      <c r="Q676" s="1768"/>
      <c r="R676" s="1768"/>
      <c r="S676" s="1768"/>
      <c r="T676" s="1768"/>
      <c r="U676" s="1829"/>
      <c r="V676" s="1829"/>
      <c r="W676" s="1829"/>
      <c r="X676" s="1828"/>
      <c r="Y676" s="1914"/>
      <c r="Z676" s="1913"/>
      <c r="AA676" s="1913"/>
      <c r="AB676" s="1794"/>
      <c r="AC676" s="1954"/>
      <c r="AD676" s="1954"/>
      <c r="AE676" s="1954"/>
      <c r="AF676" s="1954"/>
      <c r="AI676" s="1735" t="str">
        <f>"52:field225:" &amp; IF(I676="■",1,IF(L676="■",2,IF(O676="■",3,0)))</f>
        <v>52:field225:0</v>
      </c>
    </row>
    <row r="677" spans="1:36" s="1735" customFormat="1" ht="18.75" hidden="1" customHeight="1">
      <c r="A677" s="1766"/>
      <c r="B677" s="1765"/>
      <c r="C677" s="1916"/>
      <c r="D677" s="1915"/>
      <c r="E677" s="1762"/>
      <c r="F677" s="1761"/>
      <c r="G677" s="1762"/>
      <c r="H677" s="1769" t="s">
        <v>795</v>
      </c>
      <c r="I677" s="1773" t="s">
        <v>194</v>
      </c>
      <c r="J677" s="1754" t="s">
        <v>750</v>
      </c>
      <c r="K677" s="1754"/>
      <c r="L677" s="1772" t="s">
        <v>194</v>
      </c>
      <c r="M677" s="1754" t="s">
        <v>796</v>
      </c>
      <c r="N677" s="1754"/>
      <c r="O677" s="1772" t="s">
        <v>194</v>
      </c>
      <c r="P677" s="1754" t="s">
        <v>797</v>
      </c>
      <c r="Q677" s="1771"/>
      <c r="R677" s="1772" t="s">
        <v>194</v>
      </c>
      <c r="S677" s="1754" t="s">
        <v>798</v>
      </c>
      <c r="T677" s="1754"/>
      <c r="U677" s="1754"/>
      <c r="V677" s="1754"/>
      <c r="W677" s="1754"/>
      <c r="X677" s="1753"/>
      <c r="Y677" s="1914"/>
      <c r="Z677" s="1913"/>
      <c r="AA677" s="1913"/>
      <c r="AB677" s="1794"/>
      <c r="AC677" s="1954"/>
      <c r="AD677" s="1954"/>
      <c r="AE677" s="1954"/>
      <c r="AF677" s="1954"/>
      <c r="AI677" s="1735" t="str">
        <f>"52:serteikyo_kyoka_code:" &amp; IF(I677="■",1,IF(L677="■",6,IF(O677="■",5,IF(R677="■",7,0))))</f>
        <v>52:serteikyo_kyoka_code:0</v>
      </c>
    </row>
    <row r="678" spans="1:36" s="1735" customFormat="1" ht="18.75" hidden="1" customHeight="1">
      <c r="A678" s="1752"/>
      <c r="B678" s="1751"/>
      <c r="C678" s="1750"/>
      <c r="D678" s="1749"/>
      <c r="E678" s="1748"/>
      <c r="F678" s="1747"/>
      <c r="G678" s="1808"/>
      <c r="H678" s="1909" t="s">
        <v>1553</v>
      </c>
      <c r="I678" s="1744" t="s">
        <v>194</v>
      </c>
      <c r="J678" s="1905" t="s">
        <v>750</v>
      </c>
      <c r="K678" s="1905"/>
      <c r="L678" s="1743" t="s">
        <v>194</v>
      </c>
      <c r="M678" s="1905" t="s">
        <v>1552</v>
      </c>
      <c r="N678" s="1908"/>
      <c r="O678" s="1743" t="s">
        <v>194</v>
      </c>
      <c r="P678" s="1907" t="s">
        <v>1551</v>
      </c>
      <c r="Q678" s="1906"/>
      <c r="R678" s="1743" t="s">
        <v>194</v>
      </c>
      <c r="S678" s="1905" t="s">
        <v>1550</v>
      </c>
      <c r="T678" s="1906"/>
      <c r="U678" s="1743" t="s">
        <v>194</v>
      </c>
      <c r="V678" s="1905" t="s">
        <v>1549</v>
      </c>
      <c r="W678" s="1904"/>
      <c r="X678" s="1903"/>
      <c r="Y678" s="1902"/>
      <c r="Z678" s="1902"/>
      <c r="AA678" s="1902"/>
      <c r="AB678" s="1901"/>
      <c r="AC678" s="1953"/>
      <c r="AD678" s="1953"/>
      <c r="AE678" s="1953"/>
      <c r="AF678" s="1953"/>
      <c r="AI678" s="1735" t="str">
        <f>"52:shoguukaizen_code:"&amp;IF(I678="■",1,IF(L678="■",7,IF(O678="■",8,IF(R678="■",9,IF(U678="■","A",0)))))</f>
        <v>52:shoguukaizen_code:0</v>
      </c>
    </row>
    <row r="679" spans="1:36" s="1735" customFormat="1" ht="18.75" hidden="1" customHeight="1">
      <c r="A679" s="1807"/>
      <c r="B679" s="1806"/>
      <c r="C679" s="1934"/>
      <c r="D679" s="1933"/>
      <c r="E679" s="1804"/>
      <c r="F679" s="1803"/>
      <c r="G679" s="1804"/>
      <c r="H679" s="1801" t="s">
        <v>746</v>
      </c>
      <c r="I679" s="1800" t="s">
        <v>194</v>
      </c>
      <c r="J679" s="1799" t="s">
        <v>747</v>
      </c>
      <c r="K679" s="1846"/>
      <c r="L679" s="1845"/>
      <c r="M679" s="1798" t="s">
        <v>194</v>
      </c>
      <c r="N679" s="1799" t="s">
        <v>748</v>
      </c>
      <c r="O679" s="1796"/>
      <c r="P679" s="1846"/>
      <c r="Q679" s="1846"/>
      <c r="R679" s="1846"/>
      <c r="S679" s="1846"/>
      <c r="T679" s="1846"/>
      <c r="U679" s="1846"/>
      <c r="V679" s="1846"/>
      <c r="W679" s="1846"/>
      <c r="X679" s="1960"/>
      <c r="Y679" s="1873" t="s">
        <v>194</v>
      </c>
      <c r="Z679" s="1872" t="s">
        <v>749</v>
      </c>
      <c r="AA679" s="1872"/>
      <c r="AB679" s="1929"/>
      <c r="AC679" s="1959"/>
      <c r="AD679" s="1959"/>
      <c r="AE679" s="1959"/>
      <c r="AF679" s="1959"/>
      <c r="AG679" s="1735" t="str">
        <f>"ser_code = '" &amp; IF(A693="■",52,"") &amp; "'"</f>
        <v>ser_code = ''</v>
      </c>
      <c r="AH679" s="1735" t="str">
        <f>"52:jininkbn_code:" &amp; IF(F693="■",1,IF(F694="■",2,0))</f>
        <v>52:jininkbn_code:0</v>
      </c>
      <c r="AI679" s="1735" t="str">
        <f>"52:yakan_kinmu_code:" &amp; IF(I679="■",1,IF(M679="■",6,0))</f>
        <v>52:yakan_kinmu_code:0</v>
      </c>
      <c r="AJ679" s="1735" t="str">
        <f>"52:field203:" &amp; IF(Y679="■",1,IF(Y680="■",2,0))</f>
        <v>52:field203:0</v>
      </c>
    </row>
    <row r="680" spans="1:36" s="1735" customFormat="1" ht="18.75" hidden="1" customHeight="1">
      <c r="A680" s="1766"/>
      <c r="B680" s="1765"/>
      <c r="C680" s="1916"/>
      <c r="D680" s="1915"/>
      <c r="E680" s="1762"/>
      <c r="F680" s="1761"/>
      <c r="G680" s="1762"/>
      <c r="H680" s="1925" t="s">
        <v>98</v>
      </c>
      <c r="I680" s="1924" t="s">
        <v>194</v>
      </c>
      <c r="J680" s="1923" t="s">
        <v>750</v>
      </c>
      <c r="K680" s="1923"/>
      <c r="L680" s="1785"/>
      <c r="M680" s="1922" t="s">
        <v>194</v>
      </c>
      <c r="N680" s="1923" t="s">
        <v>1568</v>
      </c>
      <c r="O680" s="1923"/>
      <c r="P680" s="1785"/>
      <c r="Q680" s="1922" t="s">
        <v>194</v>
      </c>
      <c r="R680" s="1785" t="s">
        <v>1615</v>
      </c>
      <c r="S680" s="1785"/>
      <c r="T680" s="1785"/>
      <c r="U680" s="1922" t="s">
        <v>194</v>
      </c>
      <c r="V680" s="1785" t="s">
        <v>1614</v>
      </c>
      <c r="W680" s="1785"/>
      <c r="X680" s="1784"/>
      <c r="Y680" s="1776" t="s">
        <v>194</v>
      </c>
      <c r="Z680" s="1738" t="s">
        <v>754</v>
      </c>
      <c r="AA680" s="1913"/>
      <c r="AB680" s="1794"/>
      <c r="AC680" s="1954"/>
      <c r="AD680" s="1954"/>
      <c r="AE680" s="1954"/>
      <c r="AF680" s="1954"/>
      <c r="AG680" s="1735" t="str">
        <f>"52:sisetukbn_code:" &amp; IF(D693="■",2,0)</f>
        <v>52:sisetukbn_code:0</v>
      </c>
      <c r="AI680" s="1735" t="str">
        <f>"52:"&amp;IF(AND(I680="□",M680="□",Q680="□",U680="□",I681="□",M681="□",Q681="□",I682="□"),"ketu_doctor_code:0",IF(I680="■","ketu_doctor_code:1:ketu_kangos_code:1:ketu_kshoku_code:1:ketu_rryoho_code:1:ketu_sryoho_code:1:ketu_ksiensou_code:1:ketu_gengo_code:1",IF(M680="■","ketu_doctor_code:2","ketu_doctor_code:1")
&amp;IF(Q680="■",":ketu_kangos_code:2",":ketu_kangos_code:1")
&amp;IF(U680="■",":ketu_kshoku_code:2",":ketu_kshoku_code:1")
&amp;IF(I681="■",":ketu_rryoho_code:2",":ketu_rryoho_code:1")
&amp;IF(M681="■",":ketu_sryoho_code:2",":ketu_sryoho_code:1")
&amp;IF(Q681="■",":ketu_ksiensou_code:2",":ketu_ksiensou_code:1")
&amp;IF(I682="■",":ketu_gengo_code:2",":ketu_gengo_code:1")))</f>
        <v>52:ketu_doctor_code:0</v>
      </c>
    </row>
    <row r="681" spans="1:36" s="1735" customFormat="1" ht="18.75" hidden="1" customHeight="1">
      <c r="A681" s="1766"/>
      <c r="B681" s="1765"/>
      <c r="C681" s="1916"/>
      <c r="D681" s="1915"/>
      <c r="E681" s="1762"/>
      <c r="F681" s="1761"/>
      <c r="G681" s="1762"/>
      <c r="H681" s="1958"/>
      <c r="I681" s="1776" t="s">
        <v>194</v>
      </c>
      <c r="J681" s="1738" t="s">
        <v>1613</v>
      </c>
      <c r="K681" s="1738"/>
      <c r="L681" s="1734"/>
      <c r="M681" s="1878" t="s">
        <v>194</v>
      </c>
      <c r="N681" s="1738" t="s">
        <v>1612</v>
      </c>
      <c r="O681" s="1738"/>
      <c r="P681" s="1734"/>
      <c r="Q681" s="1878" t="s">
        <v>194</v>
      </c>
      <c r="R681" s="1734" t="s">
        <v>1611</v>
      </c>
      <c r="S681" s="1734"/>
      <c r="T681" s="1734"/>
      <c r="U681" s="1734"/>
      <c r="V681" s="1734"/>
      <c r="W681" s="1734"/>
      <c r="X681" s="1957"/>
      <c r="Y681" s="1914"/>
      <c r="Z681" s="1913"/>
      <c r="AA681" s="1913"/>
      <c r="AB681" s="1794"/>
      <c r="AC681" s="1954"/>
      <c r="AD681" s="1954"/>
      <c r="AE681" s="1954"/>
      <c r="AF681" s="1954"/>
    </row>
    <row r="682" spans="1:36" s="1735" customFormat="1" ht="18.75" hidden="1" customHeight="1">
      <c r="A682" s="1766"/>
      <c r="B682" s="1765"/>
      <c r="C682" s="1916"/>
      <c r="D682" s="1915"/>
      <c r="E682" s="1762"/>
      <c r="F682" s="1761"/>
      <c r="G682" s="1762"/>
      <c r="H682" s="1921"/>
      <c r="I682" s="1758" t="s">
        <v>194</v>
      </c>
      <c r="J682" s="1756" t="s">
        <v>1610</v>
      </c>
      <c r="K682" s="1756"/>
      <c r="L682" s="1780"/>
      <c r="M682" s="1756"/>
      <c r="N682" s="1756"/>
      <c r="O682" s="1756"/>
      <c r="P682" s="1780"/>
      <c r="Q682" s="1756"/>
      <c r="R682" s="1780"/>
      <c r="S682" s="1780"/>
      <c r="T682" s="1780"/>
      <c r="U682" s="1780"/>
      <c r="V682" s="1780"/>
      <c r="W682" s="1780"/>
      <c r="X682" s="1779"/>
      <c r="Y682" s="1914"/>
      <c r="Z682" s="1913"/>
      <c r="AA682" s="1913"/>
      <c r="AB682" s="1794"/>
      <c r="AC682" s="1954"/>
      <c r="AD682" s="1954"/>
      <c r="AE682" s="1954"/>
      <c r="AF682" s="1954"/>
    </row>
    <row r="683" spans="1:36" s="1735" customFormat="1" ht="18.75" hidden="1" customHeight="1">
      <c r="A683" s="1766"/>
      <c r="B683" s="1765"/>
      <c r="C683" s="1916"/>
      <c r="D683" s="1915"/>
      <c r="E683" s="1762"/>
      <c r="F683" s="1761"/>
      <c r="G683" s="1762"/>
      <c r="H683" s="1769" t="s">
        <v>99</v>
      </c>
      <c r="I683" s="1773" t="s">
        <v>194</v>
      </c>
      <c r="J683" s="1754" t="s">
        <v>755</v>
      </c>
      <c r="K683" s="1789"/>
      <c r="L683" s="1791"/>
      <c r="M683" s="1772" t="s">
        <v>194</v>
      </c>
      <c r="N683" s="1754" t="s">
        <v>756</v>
      </c>
      <c r="O683" s="1789"/>
      <c r="P683" s="1789"/>
      <c r="Q683" s="1789"/>
      <c r="R683" s="1789"/>
      <c r="S683" s="1789"/>
      <c r="T683" s="1789"/>
      <c r="U683" s="1789"/>
      <c r="V683" s="1789"/>
      <c r="W683" s="1789"/>
      <c r="X683" s="1918"/>
      <c r="Y683" s="1914"/>
      <c r="Z683" s="1913"/>
      <c r="AA683" s="1913"/>
      <c r="AB683" s="1794"/>
      <c r="AC683" s="1954"/>
      <c r="AD683" s="1954"/>
      <c r="AE683" s="1954"/>
      <c r="AF683" s="1954"/>
      <c r="AI683" s="1735" t="str">
        <f>"52:unitcare_code:" &amp; IF(I683="■",1,IF(M683="■",2,0))</f>
        <v>52:unitcare_code:0</v>
      </c>
    </row>
    <row r="684" spans="1:36" s="1735" customFormat="1" ht="18.75" hidden="1" customHeight="1">
      <c r="A684" s="1766"/>
      <c r="B684" s="1765"/>
      <c r="C684" s="1916"/>
      <c r="D684" s="1915"/>
      <c r="E684" s="1762"/>
      <c r="F684" s="1761"/>
      <c r="G684" s="1762"/>
      <c r="H684" s="1769" t="s">
        <v>757</v>
      </c>
      <c r="I684" s="1773" t="s">
        <v>194</v>
      </c>
      <c r="J684" s="1754" t="s">
        <v>758</v>
      </c>
      <c r="K684" s="1789"/>
      <c r="L684" s="1791"/>
      <c r="M684" s="1772" t="s">
        <v>194</v>
      </c>
      <c r="N684" s="1754" t="s">
        <v>759</v>
      </c>
      <c r="O684" s="1789"/>
      <c r="P684" s="1789"/>
      <c r="Q684" s="1789"/>
      <c r="R684" s="1789"/>
      <c r="S684" s="1789"/>
      <c r="T684" s="1789"/>
      <c r="U684" s="1789"/>
      <c r="V684" s="1789"/>
      <c r="W684" s="1789"/>
      <c r="X684" s="1918"/>
      <c r="Y684" s="1914"/>
      <c r="Z684" s="1913"/>
      <c r="AA684" s="1913"/>
      <c r="AB684" s="1794"/>
      <c r="AC684" s="1954"/>
      <c r="AD684" s="1954"/>
      <c r="AE684" s="1954"/>
      <c r="AF684" s="1954"/>
      <c r="AI684" s="1735" t="str">
        <f>"52:sintaikousoku_code:" &amp; IF(I684="■",1,IF(M684="■",2,0))</f>
        <v>52:sintaikousoku_code:0</v>
      </c>
    </row>
    <row r="685" spans="1:36" s="1735" customFormat="1" ht="18.75" hidden="1" customHeight="1">
      <c r="A685" s="1766"/>
      <c r="B685" s="1765"/>
      <c r="C685" s="1916"/>
      <c r="D685" s="1915"/>
      <c r="E685" s="1762"/>
      <c r="F685" s="1761"/>
      <c r="G685" s="1762"/>
      <c r="H685" s="1769" t="s">
        <v>448</v>
      </c>
      <c r="I685" s="1773" t="s">
        <v>194</v>
      </c>
      <c r="J685" s="1754" t="s">
        <v>758</v>
      </c>
      <c r="K685" s="1789"/>
      <c r="L685" s="1791"/>
      <c r="M685" s="1772" t="s">
        <v>194</v>
      </c>
      <c r="N685" s="1754" t="s">
        <v>759</v>
      </c>
      <c r="O685" s="1789"/>
      <c r="P685" s="1789"/>
      <c r="Q685" s="1789"/>
      <c r="R685" s="1789"/>
      <c r="S685" s="1789"/>
      <c r="T685" s="1789"/>
      <c r="U685" s="1789"/>
      <c r="V685" s="1789"/>
      <c r="W685" s="1789"/>
      <c r="X685" s="1918"/>
      <c r="Y685" s="1914"/>
      <c r="Z685" s="1913"/>
      <c r="AA685" s="1913"/>
      <c r="AB685" s="1794"/>
      <c r="AC685" s="1954"/>
      <c r="AD685" s="1954"/>
      <c r="AE685" s="1954"/>
      <c r="AF685" s="1954"/>
      <c r="AI685" s="1735" t="str">
        <f>"52:field208:" &amp; IF(I685="■",1,IF(M685="■",2,0))</f>
        <v>52:field208:0</v>
      </c>
    </row>
    <row r="686" spans="1:36" s="1735" customFormat="1" ht="19.5" hidden="1" customHeight="1">
      <c r="A686" s="1766"/>
      <c r="B686" s="1765"/>
      <c r="C686" s="1764"/>
      <c r="D686" s="1763"/>
      <c r="E686" s="1762"/>
      <c r="F686" s="1761"/>
      <c r="G686" s="1793"/>
      <c r="H686" s="1792" t="s">
        <v>760</v>
      </c>
      <c r="I686" s="1773" t="s">
        <v>194</v>
      </c>
      <c r="J686" s="1754" t="s">
        <v>758</v>
      </c>
      <c r="K686" s="1789"/>
      <c r="L686" s="1791"/>
      <c r="M686" s="1772" t="s">
        <v>194</v>
      </c>
      <c r="N686" s="1754" t="s">
        <v>761</v>
      </c>
      <c r="O686" s="1920"/>
      <c r="P686" s="1754"/>
      <c r="Q686" s="1768"/>
      <c r="R686" s="1768"/>
      <c r="S686" s="1768"/>
      <c r="T686" s="1768"/>
      <c r="U686" s="1768"/>
      <c r="V686" s="1768"/>
      <c r="W686" s="1768"/>
      <c r="X686" s="1767"/>
      <c r="Y686" s="1913"/>
      <c r="Z686" s="1913"/>
      <c r="AA686" s="1913"/>
      <c r="AB686" s="1794"/>
      <c r="AC686" s="1954"/>
      <c r="AD686" s="1954"/>
      <c r="AE686" s="1954"/>
      <c r="AF686" s="1954"/>
      <c r="AI686" s="1735" t="str">
        <f>"52:field223:" &amp; IF(I686="■",1,IF(M686="■",2,0))</f>
        <v>52:field223:0</v>
      </c>
    </row>
    <row r="687" spans="1:36" s="1735" customFormat="1" ht="19.5" hidden="1" customHeight="1">
      <c r="A687" s="1766"/>
      <c r="B687" s="1765"/>
      <c r="C687" s="1764"/>
      <c r="D687" s="1763"/>
      <c r="E687" s="1762"/>
      <c r="F687" s="1761"/>
      <c r="G687" s="1793"/>
      <c r="H687" s="1792" t="s">
        <v>762</v>
      </c>
      <c r="I687" s="1773" t="s">
        <v>194</v>
      </c>
      <c r="J687" s="1754" t="s">
        <v>758</v>
      </c>
      <c r="K687" s="1789"/>
      <c r="L687" s="1791"/>
      <c r="M687" s="1772" t="s">
        <v>194</v>
      </c>
      <c r="N687" s="1754" t="s">
        <v>761</v>
      </c>
      <c r="O687" s="1920"/>
      <c r="P687" s="1754"/>
      <c r="Q687" s="1768"/>
      <c r="R687" s="1768"/>
      <c r="S687" s="1768"/>
      <c r="T687" s="1768"/>
      <c r="U687" s="1768"/>
      <c r="V687" s="1768"/>
      <c r="W687" s="1768"/>
      <c r="X687" s="1767"/>
      <c r="Y687" s="1913"/>
      <c r="Z687" s="1913"/>
      <c r="AA687" s="1913"/>
      <c r="AB687" s="1794"/>
      <c r="AC687" s="1954"/>
      <c r="AD687" s="1954"/>
      <c r="AE687" s="1954"/>
      <c r="AF687" s="1954"/>
      <c r="AI687" s="1735" t="str">
        <f>"52:field232:" &amp; IF(I687="■",1,IF(M687="■",2,0))</f>
        <v>52:field232:0</v>
      </c>
    </row>
    <row r="688" spans="1:36" s="1735" customFormat="1" ht="37.5" hidden="1" customHeight="1">
      <c r="A688" s="1766"/>
      <c r="B688" s="1765"/>
      <c r="C688" s="1916"/>
      <c r="D688" s="1915"/>
      <c r="E688" s="1762"/>
      <c r="F688" s="1761"/>
      <c r="G688" s="1762"/>
      <c r="H688" s="1759" t="s">
        <v>763</v>
      </c>
      <c r="I688" s="1758" t="s">
        <v>194</v>
      </c>
      <c r="J688" s="1756" t="s">
        <v>750</v>
      </c>
      <c r="K688" s="1755"/>
      <c r="L688" s="1757" t="s">
        <v>194</v>
      </c>
      <c r="M688" s="1756" t="s">
        <v>764</v>
      </c>
      <c r="N688" s="1789"/>
      <c r="O688" s="1754"/>
      <c r="P688" s="1754"/>
      <c r="Q688" s="1754"/>
      <c r="R688" s="1754"/>
      <c r="S688" s="1754"/>
      <c r="T688" s="1754"/>
      <c r="U688" s="1754"/>
      <c r="V688" s="1754"/>
      <c r="W688" s="1754"/>
      <c r="X688" s="1753"/>
      <c r="Y688" s="1914"/>
      <c r="Z688" s="1913"/>
      <c r="AA688" s="1913"/>
      <c r="AB688" s="1794"/>
      <c r="AC688" s="1954"/>
      <c r="AD688" s="1954"/>
      <c r="AE688" s="1954"/>
      <c r="AF688" s="1954"/>
      <c r="AI688" s="1735" t="str">
        <f>"52:field206:" &amp; IF(I688="■",1,IF(L688="■",2,0))</f>
        <v>52:field206:0</v>
      </c>
    </row>
    <row r="689" spans="1:35" s="1735" customFormat="1" ht="18.75" hidden="1" customHeight="1">
      <c r="A689" s="1766"/>
      <c r="B689" s="1765"/>
      <c r="C689" s="1916"/>
      <c r="D689" s="1915"/>
      <c r="E689" s="1762"/>
      <c r="F689" s="1761"/>
      <c r="G689" s="1762"/>
      <c r="H689" s="1769" t="s">
        <v>768</v>
      </c>
      <c r="I689" s="1758" t="s">
        <v>194</v>
      </c>
      <c r="J689" s="1756" t="s">
        <v>750</v>
      </c>
      <c r="K689" s="1755"/>
      <c r="L689" s="1757" t="s">
        <v>194</v>
      </c>
      <c r="M689" s="1756" t="s">
        <v>764</v>
      </c>
      <c r="N689" s="1789"/>
      <c r="O689" s="1754"/>
      <c r="P689" s="1754"/>
      <c r="Q689" s="1754"/>
      <c r="R689" s="1754"/>
      <c r="S689" s="1754"/>
      <c r="T689" s="1754"/>
      <c r="U689" s="1754"/>
      <c r="V689" s="1754"/>
      <c r="W689" s="1754"/>
      <c r="X689" s="1753"/>
      <c r="Y689" s="1914"/>
      <c r="Z689" s="1913"/>
      <c r="AA689" s="1913"/>
      <c r="AB689" s="1794"/>
      <c r="AC689" s="1954"/>
      <c r="AD689" s="1954"/>
      <c r="AE689" s="1954"/>
      <c r="AF689" s="1954"/>
      <c r="AI689" s="1735" t="str">
        <f>"52:yakinhaiti_code:" &amp; IF(I689="■",1,IF(L689="■",2,0))</f>
        <v>52:yakinhaiti_code:0</v>
      </c>
    </row>
    <row r="690" spans="1:35" s="1735" customFormat="1" ht="18.75" hidden="1" customHeight="1">
      <c r="A690" s="1766"/>
      <c r="B690" s="1765"/>
      <c r="C690" s="1916"/>
      <c r="D690" s="1915"/>
      <c r="E690" s="1762"/>
      <c r="F690" s="1761"/>
      <c r="G690" s="1762"/>
      <c r="H690" s="1769" t="s">
        <v>1627</v>
      </c>
      <c r="I690" s="1758" t="s">
        <v>194</v>
      </c>
      <c r="J690" s="1756" t="s">
        <v>750</v>
      </c>
      <c r="K690" s="1755"/>
      <c r="L690" s="1757" t="s">
        <v>194</v>
      </c>
      <c r="M690" s="1756" t="s">
        <v>764</v>
      </c>
      <c r="N690" s="1789"/>
      <c r="O690" s="1754"/>
      <c r="P690" s="1754"/>
      <c r="Q690" s="1754"/>
      <c r="R690" s="1754"/>
      <c r="S690" s="1754"/>
      <c r="T690" s="1754"/>
      <c r="U690" s="1754"/>
      <c r="V690" s="1754"/>
      <c r="W690" s="1754"/>
      <c r="X690" s="1753"/>
      <c r="Y690" s="1914"/>
      <c r="Z690" s="1913"/>
      <c r="AA690" s="1913"/>
      <c r="AB690" s="1794"/>
      <c r="AC690" s="1954"/>
      <c r="AD690" s="1954"/>
      <c r="AE690" s="1954"/>
      <c r="AF690" s="1954"/>
      <c r="AI690" s="1735" t="str">
        <f>"52:ninti_riha_code:" &amp; IF(I690="■",1,IF(L690="■",2,0))</f>
        <v>52:ninti_riha_code:0</v>
      </c>
    </row>
    <row r="691" spans="1:35" s="1735" customFormat="1" ht="18.75" hidden="1" customHeight="1">
      <c r="A691" s="1766"/>
      <c r="B691" s="1765"/>
      <c r="C691" s="1916"/>
      <c r="D691" s="1915"/>
      <c r="E691" s="1762"/>
      <c r="F691" s="1761"/>
      <c r="G691" s="1762"/>
      <c r="H691" s="1769" t="s">
        <v>1607</v>
      </c>
      <c r="I691" s="1758" t="s">
        <v>194</v>
      </c>
      <c r="J691" s="1756" t="s">
        <v>750</v>
      </c>
      <c r="K691" s="1755"/>
      <c r="L691" s="1757" t="s">
        <v>194</v>
      </c>
      <c r="M691" s="1756" t="s">
        <v>764</v>
      </c>
      <c r="N691" s="1789"/>
      <c r="O691" s="1789"/>
      <c r="P691" s="1789"/>
      <c r="Q691" s="1789"/>
      <c r="R691" s="1789"/>
      <c r="S691" s="1789"/>
      <c r="T691" s="1789"/>
      <c r="U691" s="1789"/>
      <c r="V691" s="1789"/>
      <c r="W691" s="1789"/>
      <c r="X691" s="1918"/>
      <c r="Y691" s="1914"/>
      <c r="Z691" s="1913"/>
      <c r="AA691" s="1913"/>
      <c r="AB691" s="1794"/>
      <c r="AC691" s="1954"/>
      <c r="AD691" s="1954"/>
      <c r="AE691" s="1954"/>
      <c r="AF691" s="1954"/>
      <c r="AI691" s="1735" t="str">
        <f>"52:ninticare_code:" &amp; IF(I691="■",1,IF(L691="■",2,0))</f>
        <v>52:ninticare_code:0</v>
      </c>
    </row>
    <row r="692" spans="1:35" s="1735" customFormat="1" ht="18.75" hidden="1" customHeight="1">
      <c r="A692" s="1766"/>
      <c r="B692" s="1765"/>
      <c r="C692" s="1916"/>
      <c r="D692" s="1915"/>
      <c r="E692" s="1762"/>
      <c r="F692" s="1761"/>
      <c r="G692" s="1762"/>
      <c r="H692" s="1955" t="s">
        <v>782</v>
      </c>
      <c r="I692" s="1758" t="s">
        <v>194</v>
      </c>
      <c r="J692" s="1756" t="s">
        <v>750</v>
      </c>
      <c r="K692" s="1755"/>
      <c r="L692" s="1757" t="s">
        <v>194</v>
      </c>
      <c r="M692" s="1756" t="s">
        <v>764</v>
      </c>
      <c r="N692" s="1789"/>
      <c r="O692" s="1789"/>
      <c r="P692" s="1789"/>
      <c r="Q692" s="1789"/>
      <c r="R692" s="1789"/>
      <c r="S692" s="1789"/>
      <c r="T692" s="1789"/>
      <c r="U692" s="1789"/>
      <c r="V692" s="1789"/>
      <c r="W692" s="1789"/>
      <c r="X692" s="1918"/>
      <c r="Y692" s="1914"/>
      <c r="Z692" s="1913"/>
      <c r="AA692" s="1913"/>
      <c r="AB692" s="1794"/>
      <c r="AC692" s="1954"/>
      <c r="AD692" s="1954"/>
      <c r="AE692" s="1954"/>
      <c r="AF692" s="1954"/>
      <c r="AI692" s="1735" t="str">
        <f>"52:jyakuninti_uke_code:" &amp; IF(I692="■",1,IF(L692="■",2,0))</f>
        <v>52:jyakuninti_uke_code:0</v>
      </c>
    </row>
    <row r="693" spans="1:35" s="1735" customFormat="1" ht="18.75" hidden="1" customHeight="1">
      <c r="A693" s="1776" t="s">
        <v>194</v>
      </c>
      <c r="B693" s="1765">
        <v>52</v>
      </c>
      <c r="C693" s="1916" t="s">
        <v>1634</v>
      </c>
      <c r="D693" s="1776" t="s">
        <v>194</v>
      </c>
      <c r="E693" s="1762" t="s">
        <v>1633</v>
      </c>
      <c r="F693" s="1776" t="s">
        <v>194</v>
      </c>
      <c r="G693" s="1762" t="s">
        <v>1632</v>
      </c>
      <c r="H693" s="1955" t="s">
        <v>1631</v>
      </c>
      <c r="I693" s="1773" t="s">
        <v>194</v>
      </c>
      <c r="J693" s="1754" t="s">
        <v>750</v>
      </c>
      <c r="K693" s="1754"/>
      <c r="L693" s="1772" t="s">
        <v>194</v>
      </c>
      <c r="M693" s="1754" t="s">
        <v>784</v>
      </c>
      <c r="N693" s="1754"/>
      <c r="O693" s="1772" t="s">
        <v>194</v>
      </c>
      <c r="P693" s="1754" t="s">
        <v>785</v>
      </c>
      <c r="Q693" s="1789"/>
      <c r="R693" s="1789"/>
      <c r="S693" s="1754"/>
      <c r="T693" s="1754"/>
      <c r="U693" s="1754"/>
      <c r="V693" s="1754"/>
      <c r="W693" s="1754"/>
      <c r="X693" s="1753"/>
      <c r="Y693" s="1914"/>
      <c r="Z693" s="1913"/>
      <c r="AA693" s="1913"/>
      <c r="AB693" s="1794"/>
      <c r="AC693" s="1954"/>
      <c r="AD693" s="1954"/>
      <c r="AE693" s="1954"/>
      <c r="AF693" s="1954"/>
      <c r="AI693" s="1735" t="str">
        <f>"52:zaitaku_hukki_code:" &amp; IF(I693="■",1,IF(L693="■",2,IF(O693="■",3,0)))</f>
        <v>52:zaitaku_hukki_code:0</v>
      </c>
    </row>
    <row r="694" spans="1:35" s="1735" customFormat="1" ht="18.75" hidden="1" customHeight="1">
      <c r="A694" s="1766"/>
      <c r="B694" s="1765"/>
      <c r="C694" s="1916"/>
      <c r="D694" s="1915"/>
      <c r="E694" s="1762"/>
      <c r="F694" s="1776" t="s">
        <v>194</v>
      </c>
      <c r="G694" s="1762" t="s">
        <v>1630</v>
      </c>
      <c r="H694" s="1769" t="s">
        <v>1606</v>
      </c>
      <c r="I694" s="1758" t="s">
        <v>194</v>
      </c>
      <c r="J694" s="1756" t="s">
        <v>750</v>
      </c>
      <c r="K694" s="1755"/>
      <c r="L694" s="1757" t="s">
        <v>194</v>
      </c>
      <c r="M694" s="1756" t="s">
        <v>764</v>
      </c>
      <c r="N694" s="1789"/>
      <c r="O694" s="1789"/>
      <c r="P694" s="1789"/>
      <c r="Q694" s="1789"/>
      <c r="R694" s="1789"/>
      <c r="S694" s="1789"/>
      <c r="T694" s="1789"/>
      <c r="U694" s="1789"/>
      <c r="V694" s="1789"/>
      <c r="W694" s="1789"/>
      <c r="X694" s="1918"/>
      <c r="Y694" s="1914"/>
      <c r="Z694" s="1913"/>
      <c r="AA694" s="1913"/>
      <c r="AB694" s="1794"/>
      <c r="AC694" s="1954"/>
      <c r="AD694" s="1954"/>
      <c r="AE694" s="1954"/>
      <c r="AF694" s="1954"/>
      <c r="AI694" s="1735" t="str">
        <f>"52:terminal_code:" &amp; IF(I694="■",1,IF(L694="■",2,0))</f>
        <v>52:terminal_code:0</v>
      </c>
    </row>
    <row r="695" spans="1:35" s="1735" customFormat="1" ht="18.75" hidden="1" customHeight="1">
      <c r="A695" s="1766"/>
      <c r="B695" s="1765"/>
      <c r="C695" s="1916"/>
      <c r="D695" s="1915"/>
      <c r="E695" s="1762"/>
      <c r="F695" s="1915"/>
      <c r="G695" s="1762"/>
      <c r="H695" s="1769" t="s">
        <v>786</v>
      </c>
      <c r="I695" s="1758" t="s">
        <v>194</v>
      </c>
      <c r="J695" s="1756" t="s">
        <v>750</v>
      </c>
      <c r="K695" s="1755"/>
      <c r="L695" s="1757" t="s">
        <v>194</v>
      </c>
      <c r="M695" s="1756" t="s">
        <v>764</v>
      </c>
      <c r="N695" s="1789"/>
      <c r="O695" s="1789"/>
      <c r="P695" s="1789"/>
      <c r="Q695" s="1789"/>
      <c r="R695" s="1789"/>
      <c r="S695" s="1789"/>
      <c r="T695" s="1789"/>
      <c r="U695" s="1789"/>
      <c r="V695" s="1789"/>
      <c r="W695" s="1789"/>
      <c r="X695" s="1918"/>
      <c r="Y695" s="1914"/>
      <c r="Z695" s="1913"/>
      <c r="AA695" s="1913"/>
      <c r="AB695" s="1794"/>
      <c r="AC695" s="1954"/>
      <c r="AD695" s="1954"/>
      <c r="AE695" s="1954"/>
      <c r="AF695" s="1954"/>
      <c r="AI695" s="1735" t="str">
        <f>"52:field207:" &amp; IF(I695="■",1,IF(L695="■",2,0))</f>
        <v>52:field207:0</v>
      </c>
    </row>
    <row r="696" spans="1:35" s="1735" customFormat="1" ht="18.75" hidden="1" customHeight="1">
      <c r="A696" s="1766"/>
      <c r="B696" s="1765"/>
      <c r="C696" s="1916"/>
      <c r="D696" s="1915"/>
      <c r="E696" s="1762"/>
      <c r="F696" s="1915"/>
      <c r="G696" s="1762"/>
      <c r="H696" s="1769" t="s">
        <v>787</v>
      </c>
      <c r="I696" s="1758" t="s">
        <v>194</v>
      </c>
      <c r="J696" s="1756" t="s">
        <v>750</v>
      </c>
      <c r="K696" s="1755"/>
      <c r="L696" s="1757" t="s">
        <v>194</v>
      </c>
      <c r="M696" s="1756" t="s">
        <v>764</v>
      </c>
      <c r="N696" s="1789"/>
      <c r="O696" s="1754"/>
      <c r="P696" s="1754"/>
      <c r="Q696" s="1754"/>
      <c r="R696" s="1754"/>
      <c r="S696" s="1754"/>
      <c r="T696" s="1754"/>
      <c r="U696" s="1754"/>
      <c r="V696" s="1754"/>
      <c r="W696" s="1754"/>
      <c r="X696" s="1753"/>
      <c r="Y696" s="1914"/>
      <c r="Z696" s="1913"/>
      <c r="AA696" s="1913"/>
      <c r="AB696" s="1794"/>
      <c r="AC696" s="1954"/>
      <c r="AD696" s="1954"/>
      <c r="AE696" s="1954"/>
      <c r="AF696" s="1954"/>
      <c r="AI696" s="1735" t="str">
        <f>"52:ryouyoushoku_code:" &amp; IF(I696="■",1,IF(L696="■",2,0))</f>
        <v>52:ryouyoushoku_code:0</v>
      </c>
    </row>
    <row r="697" spans="1:35" s="1735" customFormat="1" ht="18.75" hidden="1" customHeight="1">
      <c r="A697" s="1766"/>
      <c r="B697" s="1765"/>
      <c r="C697" s="1916"/>
      <c r="D697" s="1915"/>
      <c r="E697" s="1762"/>
      <c r="F697" s="1761"/>
      <c r="G697" s="1762"/>
      <c r="H697" s="1769" t="s">
        <v>791</v>
      </c>
      <c r="I697" s="1773" t="s">
        <v>194</v>
      </c>
      <c r="J697" s="1754" t="s">
        <v>750</v>
      </c>
      <c r="K697" s="1754"/>
      <c r="L697" s="1772" t="s">
        <v>194</v>
      </c>
      <c r="M697" s="1754" t="s">
        <v>784</v>
      </c>
      <c r="N697" s="1754"/>
      <c r="O697" s="1772" t="s">
        <v>194</v>
      </c>
      <c r="P697" s="1754" t="s">
        <v>785</v>
      </c>
      <c r="Q697" s="1789"/>
      <c r="R697" s="1789"/>
      <c r="S697" s="1754"/>
      <c r="T697" s="1754"/>
      <c r="U697" s="1754"/>
      <c r="V697" s="1754"/>
      <c r="W697" s="1754"/>
      <c r="X697" s="1753"/>
      <c r="Y697" s="1914"/>
      <c r="Z697" s="1913"/>
      <c r="AA697" s="1913"/>
      <c r="AB697" s="1794"/>
      <c r="AC697" s="1954"/>
      <c r="AD697" s="1954"/>
      <c r="AE697" s="1954"/>
      <c r="AF697" s="1954"/>
      <c r="AI697" s="1735" t="str">
        <f>"52:ninti_senmoncare_code:" &amp; IF(I697="■",1,IF(O697="■",3,IF(L697="■",2,0)))</f>
        <v>52:ninti_senmoncare_code:0</v>
      </c>
    </row>
    <row r="698" spans="1:35" s="1735" customFormat="1" ht="18.75" hidden="1" customHeight="1">
      <c r="A698" s="1766"/>
      <c r="B698" s="1765"/>
      <c r="C698" s="1916"/>
      <c r="D698" s="1915"/>
      <c r="E698" s="1762"/>
      <c r="F698" s="1761"/>
      <c r="G698" s="1762"/>
      <c r="H698" s="1769" t="s">
        <v>792</v>
      </c>
      <c r="I698" s="1773" t="s">
        <v>194</v>
      </c>
      <c r="J698" s="1754" t="s">
        <v>750</v>
      </c>
      <c r="K698" s="1754"/>
      <c r="L698" s="1772" t="s">
        <v>194</v>
      </c>
      <c r="M698" s="1754" t="s">
        <v>784</v>
      </c>
      <c r="N698" s="1754"/>
      <c r="O698" s="1772" t="s">
        <v>194</v>
      </c>
      <c r="P698" s="1754" t="s">
        <v>785</v>
      </c>
      <c r="Q698" s="1789"/>
      <c r="R698" s="1789"/>
      <c r="S698" s="1789"/>
      <c r="T698" s="1789"/>
      <c r="U698" s="1789"/>
      <c r="V698" s="1789"/>
      <c r="W698" s="1789"/>
      <c r="X698" s="1918"/>
      <c r="Y698" s="1914"/>
      <c r="Z698" s="1913"/>
      <c r="AA698" s="1913"/>
      <c r="AB698" s="1794"/>
      <c r="AC698" s="1954"/>
      <c r="AD698" s="1954"/>
      <c r="AE698" s="1954"/>
      <c r="AF698" s="1954"/>
      <c r="AI698" s="1735" t="str">
        <f>"52:field228:" &amp; IF(I698="■",1,IF(L698="■",2,IF(O698="■",3,0)))</f>
        <v>52:field228:0</v>
      </c>
    </row>
    <row r="699" spans="1:35" s="1735" customFormat="1" ht="18.75" hidden="1" customHeight="1">
      <c r="A699" s="1766"/>
      <c r="B699" s="1765"/>
      <c r="C699" s="1916"/>
      <c r="D699" s="1915"/>
      <c r="E699" s="1762"/>
      <c r="F699" s="1761"/>
      <c r="G699" s="1762"/>
      <c r="H699" s="1777" t="s">
        <v>1617</v>
      </c>
      <c r="I699" s="1758" t="s">
        <v>194</v>
      </c>
      <c r="J699" s="1756" t="s">
        <v>750</v>
      </c>
      <c r="K699" s="1755"/>
      <c r="L699" s="1772" t="s">
        <v>194</v>
      </c>
      <c r="M699" s="1754" t="s">
        <v>773</v>
      </c>
      <c r="N699" s="1754"/>
      <c r="O699" s="1772" t="s">
        <v>194</v>
      </c>
      <c r="P699" s="1754" t="s">
        <v>774</v>
      </c>
      <c r="Q699" s="1789"/>
      <c r="R699" s="1789"/>
      <c r="S699" s="1789"/>
      <c r="T699" s="1789"/>
      <c r="U699" s="1789"/>
      <c r="V699" s="1789"/>
      <c r="W699" s="1789"/>
      <c r="X699" s="1918"/>
      <c r="Y699" s="1914"/>
      <c r="Z699" s="1913"/>
      <c r="AA699" s="1913"/>
      <c r="AB699" s="1794"/>
      <c r="AC699" s="1954"/>
      <c r="AD699" s="1954"/>
      <c r="AE699" s="1954"/>
      <c r="AF699" s="1954"/>
      <c r="AI699" s="1735" t="str">
        <f>"52:field216:" &amp; IF(I699="■",1,IF(L699="■",2,IF(O699="■",3,0)))</f>
        <v>52:field216:0</v>
      </c>
    </row>
    <row r="700" spans="1:35" s="1735" customFormat="1" ht="18.75" hidden="1" customHeight="1">
      <c r="A700" s="1766"/>
      <c r="B700" s="1765"/>
      <c r="C700" s="1916"/>
      <c r="D700" s="1915"/>
      <c r="E700" s="1762"/>
      <c r="F700" s="1761"/>
      <c r="G700" s="1762"/>
      <c r="H700" s="1769" t="s">
        <v>793</v>
      </c>
      <c r="I700" s="1758" t="s">
        <v>194</v>
      </c>
      <c r="J700" s="1756" t="s">
        <v>750</v>
      </c>
      <c r="K700" s="1755"/>
      <c r="L700" s="1757" t="s">
        <v>194</v>
      </c>
      <c r="M700" s="1756" t="s">
        <v>764</v>
      </c>
      <c r="N700" s="1789"/>
      <c r="O700" s="1789"/>
      <c r="P700" s="1789"/>
      <c r="Q700" s="1789"/>
      <c r="R700" s="1789"/>
      <c r="S700" s="1789"/>
      <c r="T700" s="1789"/>
      <c r="U700" s="1789"/>
      <c r="V700" s="1789"/>
      <c r="W700" s="1789"/>
      <c r="X700" s="1918"/>
      <c r="Y700" s="1914"/>
      <c r="Z700" s="1913"/>
      <c r="AA700" s="1913"/>
      <c r="AB700" s="1794"/>
      <c r="AC700" s="1954"/>
      <c r="AD700" s="1954"/>
      <c r="AE700" s="1954"/>
      <c r="AF700" s="1954"/>
      <c r="AI700" s="1735" t="str">
        <f>"52:field177:" &amp; IF(I700="■",1,IF(L700="■",2,0))</f>
        <v>52:field177:0</v>
      </c>
    </row>
    <row r="701" spans="1:35" s="1735" customFormat="1" ht="18.75" hidden="1" customHeight="1">
      <c r="A701" s="1766"/>
      <c r="B701" s="1765"/>
      <c r="C701" s="1916"/>
      <c r="D701" s="1915"/>
      <c r="E701" s="1762"/>
      <c r="F701" s="1761"/>
      <c r="G701" s="1762"/>
      <c r="H701" s="1777" t="s">
        <v>454</v>
      </c>
      <c r="I701" s="1758" t="s">
        <v>194</v>
      </c>
      <c r="J701" s="1756" t="s">
        <v>750</v>
      </c>
      <c r="K701" s="1755"/>
      <c r="L701" s="1757" t="s">
        <v>194</v>
      </c>
      <c r="M701" s="1756" t="s">
        <v>764</v>
      </c>
      <c r="N701" s="1789"/>
      <c r="O701" s="1789"/>
      <c r="P701" s="1789"/>
      <c r="Q701" s="1789"/>
      <c r="R701" s="1789"/>
      <c r="S701" s="1789"/>
      <c r="T701" s="1789"/>
      <c r="U701" s="1789"/>
      <c r="V701" s="1789"/>
      <c r="W701" s="1789"/>
      <c r="X701" s="1918"/>
      <c r="Y701" s="1914"/>
      <c r="Z701" s="1913"/>
      <c r="AA701" s="1913"/>
      <c r="AB701" s="1794"/>
      <c r="AC701" s="1954"/>
      <c r="AD701" s="1954"/>
      <c r="AE701" s="1954"/>
      <c r="AF701" s="1954"/>
      <c r="AI701" s="1735" t="str">
        <f>"52:field210:" &amp; IF(I701="■",1,IF(L701="■",2,0))</f>
        <v>52:field210:0</v>
      </c>
    </row>
    <row r="702" spans="1:35" s="1735" customFormat="1" ht="18.75" hidden="1" customHeight="1">
      <c r="A702" s="1766"/>
      <c r="B702" s="1765"/>
      <c r="C702" s="1916"/>
      <c r="D702" s="1915"/>
      <c r="E702" s="1762"/>
      <c r="F702" s="1761"/>
      <c r="G702" s="1762"/>
      <c r="H702" s="1769" t="s">
        <v>455</v>
      </c>
      <c r="I702" s="1758" t="s">
        <v>194</v>
      </c>
      <c r="J702" s="1756" t="s">
        <v>750</v>
      </c>
      <c r="K702" s="1755"/>
      <c r="L702" s="1757" t="s">
        <v>194</v>
      </c>
      <c r="M702" s="1756" t="s">
        <v>764</v>
      </c>
      <c r="N702" s="1789"/>
      <c r="O702" s="1789"/>
      <c r="P702" s="1789"/>
      <c r="Q702" s="1789"/>
      <c r="R702" s="1789"/>
      <c r="S702" s="1789"/>
      <c r="T702" s="1789"/>
      <c r="U702" s="1789"/>
      <c r="V702" s="1789"/>
      <c r="W702" s="1789"/>
      <c r="X702" s="1918"/>
      <c r="Y702" s="1914"/>
      <c r="Z702" s="1913"/>
      <c r="AA702" s="1913"/>
      <c r="AB702" s="1794"/>
      <c r="AC702" s="1954"/>
      <c r="AD702" s="1954"/>
      <c r="AE702" s="1954"/>
      <c r="AF702" s="1954"/>
      <c r="AI702" s="1735" t="str">
        <f>"52:field211:" &amp; IF(I702="■",1,IF(L702="■",2,0))</f>
        <v>52:field211:0</v>
      </c>
    </row>
    <row r="703" spans="1:35" s="1735" customFormat="1" ht="18.75" hidden="1" customHeight="1">
      <c r="A703" s="1766"/>
      <c r="B703" s="1765"/>
      <c r="C703" s="1916"/>
      <c r="D703" s="1915"/>
      <c r="E703" s="1762"/>
      <c r="F703" s="1761"/>
      <c r="G703" s="1762"/>
      <c r="H703" s="1769" t="s">
        <v>456</v>
      </c>
      <c r="I703" s="1758" t="s">
        <v>194</v>
      </c>
      <c r="J703" s="1756" t="s">
        <v>750</v>
      </c>
      <c r="K703" s="1755"/>
      <c r="L703" s="1757" t="s">
        <v>194</v>
      </c>
      <c r="M703" s="1756" t="s">
        <v>764</v>
      </c>
      <c r="N703" s="1789"/>
      <c r="O703" s="1789"/>
      <c r="P703" s="1789"/>
      <c r="Q703" s="1789"/>
      <c r="R703" s="1789"/>
      <c r="S703" s="1789"/>
      <c r="T703" s="1789"/>
      <c r="U703" s="1789"/>
      <c r="V703" s="1789"/>
      <c r="W703" s="1789"/>
      <c r="X703" s="1918"/>
      <c r="Y703" s="1914"/>
      <c r="Z703" s="1913"/>
      <c r="AA703" s="1913"/>
      <c r="AB703" s="1794"/>
      <c r="AC703" s="1954"/>
      <c r="AD703" s="1954"/>
      <c r="AE703" s="1954"/>
      <c r="AF703" s="1954"/>
      <c r="AI703" s="1735" t="str">
        <f>"52:field212:" &amp; IF(I703="■",1,IF(L703="■",2,0))</f>
        <v>52:field212:0</v>
      </c>
    </row>
    <row r="704" spans="1:35" s="1735" customFormat="1" ht="18.75" hidden="1" customHeight="1">
      <c r="A704" s="1766"/>
      <c r="B704" s="1765"/>
      <c r="C704" s="1916"/>
      <c r="D704" s="1915"/>
      <c r="E704" s="1762"/>
      <c r="F704" s="1761"/>
      <c r="G704" s="1762"/>
      <c r="H704" s="1769" t="s">
        <v>457</v>
      </c>
      <c r="I704" s="1758" t="s">
        <v>194</v>
      </c>
      <c r="J704" s="1756" t="s">
        <v>750</v>
      </c>
      <c r="K704" s="1755"/>
      <c r="L704" s="1757" t="s">
        <v>194</v>
      </c>
      <c r="M704" s="1756" t="s">
        <v>764</v>
      </c>
      <c r="N704" s="1789"/>
      <c r="O704" s="1789"/>
      <c r="P704" s="1789"/>
      <c r="Q704" s="1789"/>
      <c r="R704" s="1789"/>
      <c r="S704" s="1789"/>
      <c r="T704" s="1789"/>
      <c r="U704" s="1789"/>
      <c r="V704" s="1789"/>
      <c r="W704" s="1789"/>
      <c r="X704" s="1918"/>
      <c r="Y704" s="1914"/>
      <c r="Z704" s="1913"/>
      <c r="AA704" s="1913"/>
      <c r="AB704" s="1794"/>
      <c r="AC704" s="1954"/>
      <c r="AD704" s="1954"/>
      <c r="AE704" s="1954"/>
      <c r="AF704" s="1954"/>
      <c r="AI704" s="1735" t="str">
        <f>"52:field209:" &amp; IF(I704="■",1,IF(L704="■",2,0))</f>
        <v>52:field209:0</v>
      </c>
    </row>
    <row r="705" spans="1:36" s="1735" customFormat="1" ht="18.75" hidden="1" customHeight="1">
      <c r="A705" s="1766"/>
      <c r="B705" s="1765"/>
      <c r="C705" s="1916"/>
      <c r="D705" s="1915"/>
      <c r="E705" s="1762"/>
      <c r="F705" s="1761"/>
      <c r="G705" s="1762"/>
      <c r="H705" s="1769" t="s">
        <v>1124</v>
      </c>
      <c r="I705" s="1773" t="s">
        <v>194</v>
      </c>
      <c r="J705" s="1754" t="s">
        <v>750</v>
      </c>
      <c r="K705" s="1754"/>
      <c r="L705" s="1772" t="s">
        <v>194</v>
      </c>
      <c r="M705" s="1756" t="s">
        <v>764</v>
      </c>
      <c r="N705" s="1754"/>
      <c r="O705" s="1754"/>
      <c r="P705" s="1754"/>
      <c r="Q705" s="1789"/>
      <c r="R705" s="1789"/>
      <c r="S705" s="1789"/>
      <c r="T705" s="1789"/>
      <c r="U705" s="1789"/>
      <c r="V705" s="1789"/>
      <c r="W705" s="1789"/>
      <c r="X705" s="1918"/>
      <c r="Y705" s="1914"/>
      <c r="Z705" s="1913"/>
      <c r="AA705" s="1913"/>
      <c r="AB705" s="1794"/>
      <c r="AC705" s="1954"/>
      <c r="AD705" s="1954"/>
      <c r="AE705" s="1954"/>
      <c r="AF705" s="1954"/>
      <c r="AI705" s="1735" t="str">
        <f>"52:field226:" &amp; IF(I705="■",1,IF(L705="■",2,0))</f>
        <v>52:field226:0</v>
      </c>
    </row>
    <row r="706" spans="1:36" s="1735" customFormat="1" ht="18.75" hidden="1" customHeight="1">
      <c r="A706" s="1766"/>
      <c r="B706" s="1765"/>
      <c r="C706" s="1916"/>
      <c r="D706" s="1915"/>
      <c r="E706" s="1762"/>
      <c r="F706" s="1761"/>
      <c r="G706" s="1762"/>
      <c r="H706" s="1769" t="s">
        <v>1125</v>
      </c>
      <c r="I706" s="1773" t="s">
        <v>194</v>
      </c>
      <c r="J706" s="1754" t="s">
        <v>750</v>
      </c>
      <c r="K706" s="1754"/>
      <c r="L706" s="1772" t="s">
        <v>194</v>
      </c>
      <c r="M706" s="1756" t="s">
        <v>764</v>
      </c>
      <c r="N706" s="1754"/>
      <c r="O706" s="1754"/>
      <c r="P706" s="1754"/>
      <c r="Q706" s="1789"/>
      <c r="R706" s="1789"/>
      <c r="S706" s="1789"/>
      <c r="T706" s="1789"/>
      <c r="U706" s="1789"/>
      <c r="V706" s="1789"/>
      <c r="W706" s="1789"/>
      <c r="X706" s="1918"/>
      <c r="Y706" s="1914"/>
      <c r="Z706" s="1913"/>
      <c r="AA706" s="1913"/>
      <c r="AB706" s="1794"/>
      <c r="AC706" s="1954"/>
      <c r="AD706" s="1954"/>
      <c r="AE706" s="1954"/>
      <c r="AF706" s="1954"/>
      <c r="AI706" s="1735" t="str">
        <f>"52:field227:" &amp; IF(I706="■",1,IF(L706="■",2,0))</f>
        <v>52:field227:0</v>
      </c>
    </row>
    <row r="707" spans="1:36" s="1735" customFormat="1" ht="18.75" hidden="1" customHeight="1">
      <c r="A707" s="1766"/>
      <c r="B707" s="1765"/>
      <c r="C707" s="1916"/>
      <c r="D707" s="1915"/>
      <c r="E707" s="1762"/>
      <c r="F707" s="1761"/>
      <c r="G707" s="1762"/>
      <c r="H707" s="1917" t="s">
        <v>794</v>
      </c>
      <c r="I707" s="1773" t="s">
        <v>194</v>
      </c>
      <c r="J707" s="1754" t="s">
        <v>750</v>
      </c>
      <c r="K707" s="1754"/>
      <c r="L707" s="1772" t="s">
        <v>194</v>
      </c>
      <c r="M707" s="1754" t="s">
        <v>784</v>
      </c>
      <c r="N707" s="1754"/>
      <c r="O707" s="1772" t="s">
        <v>194</v>
      </c>
      <c r="P707" s="1754" t="s">
        <v>785</v>
      </c>
      <c r="Q707" s="1768"/>
      <c r="R707" s="1768"/>
      <c r="S707" s="1768"/>
      <c r="T707" s="1768"/>
      <c r="U707" s="1829"/>
      <c r="V707" s="1829"/>
      <c r="W707" s="1829"/>
      <c r="X707" s="1828"/>
      <c r="Y707" s="1914"/>
      <c r="Z707" s="1913"/>
      <c r="AA707" s="1913"/>
      <c r="AB707" s="1794"/>
      <c r="AC707" s="1954"/>
      <c r="AD707" s="1954"/>
      <c r="AE707" s="1954"/>
      <c r="AF707" s="1954"/>
      <c r="AI707" s="1735" t="str">
        <f>"52:field225:" &amp; IF(I707="■",1,IF(L707="■",2,IF(O707="■",3,0)))</f>
        <v>52:field225:0</v>
      </c>
    </row>
    <row r="708" spans="1:36" s="1735" customFormat="1" ht="18.75" hidden="1" customHeight="1">
      <c r="A708" s="1766"/>
      <c r="B708" s="1765"/>
      <c r="C708" s="1916"/>
      <c r="D708" s="1915"/>
      <c r="E708" s="1762"/>
      <c r="F708" s="1761"/>
      <c r="G708" s="1762"/>
      <c r="H708" s="1769" t="s">
        <v>795</v>
      </c>
      <c r="I708" s="1773" t="s">
        <v>194</v>
      </c>
      <c r="J708" s="1754" t="s">
        <v>750</v>
      </c>
      <c r="K708" s="1754"/>
      <c r="L708" s="1772" t="s">
        <v>194</v>
      </c>
      <c r="M708" s="1754" t="s">
        <v>796</v>
      </c>
      <c r="N708" s="1754"/>
      <c r="O708" s="1772" t="s">
        <v>194</v>
      </c>
      <c r="P708" s="1754" t="s">
        <v>797</v>
      </c>
      <c r="Q708" s="1771"/>
      <c r="R708" s="1772" t="s">
        <v>194</v>
      </c>
      <c r="S708" s="1754" t="s">
        <v>798</v>
      </c>
      <c r="T708" s="1754"/>
      <c r="U708" s="1754"/>
      <c r="V708" s="1754"/>
      <c r="W708" s="1754"/>
      <c r="X708" s="1753"/>
      <c r="Y708" s="1914"/>
      <c r="Z708" s="1913"/>
      <c r="AA708" s="1913"/>
      <c r="AB708" s="1794"/>
      <c r="AC708" s="1954"/>
      <c r="AD708" s="1954"/>
      <c r="AE708" s="1954"/>
      <c r="AF708" s="1954"/>
      <c r="AI708" s="1735" t="str">
        <f>"52:serteikyo_kyoka_code:" &amp; IF(I708="■",1,IF(L708="■",6,IF(O708="■",5,IF(R708="■",7,0))))</f>
        <v>52:serteikyo_kyoka_code:0</v>
      </c>
    </row>
    <row r="709" spans="1:36" s="1735" customFormat="1" ht="18.75" hidden="1" customHeight="1">
      <c r="A709" s="1752"/>
      <c r="B709" s="1751"/>
      <c r="C709" s="1750"/>
      <c r="D709" s="1749"/>
      <c r="E709" s="1748"/>
      <c r="F709" s="1747"/>
      <c r="G709" s="1808"/>
      <c r="H709" s="1909" t="s">
        <v>1553</v>
      </c>
      <c r="I709" s="1744" t="s">
        <v>194</v>
      </c>
      <c r="J709" s="1905" t="s">
        <v>750</v>
      </c>
      <c r="K709" s="1905"/>
      <c r="L709" s="1743" t="s">
        <v>194</v>
      </c>
      <c r="M709" s="1905" t="s">
        <v>1552</v>
      </c>
      <c r="N709" s="1908"/>
      <c r="O709" s="1743" t="s">
        <v>194</v>
      </c>
      <c r="P709" s="1907" t="s">
        <v>1551</v>
      </c>
      <c r="Q709" s="1906"/>
      <c r="R709" s="1743" t="s">
        <v>194</v>
      </c>
      <c r="S709" s="1905" t="s">
        <v>1550</v>
      </c>
      <c r="T709" s="1906"/>
      <c r="U709" s="1743" t="s">
        <v>194</v>
      </c>
      <c r="V709" s="1905" t="s">
        <v>1549</v>
      </c>
      <c r="W709" s="1904"/>
      <c r="X709" s="1903"/>
      <c r="Y709" s="1902"/>
      <c r="Z709" s="1902"/>
      <c r="AA709" s="1902"/>
      <c r="AB709" s="1901"/>
      <c r="AC709" s="1953"/>
      <c r="AD709" s="1953"/>
      <c r="AE709" s="1953"/>
      <c r="AF709" s="1953"/>
      <c r="AI709" s="1735" t="str">
        <f>"52:shoguukaizen_code:"&amp;IF(I709="■",1,IF(L709="■",7,IF(O709="■",8,IF(R709="■",9,IF(U709="■","A",0)))))</f>
        <v>52:shoguukaizen_code:0</v>
      </c>
    </row>
    <row r="710" spans="1:36" s="1735" customFormat="1" ht="18.75" hidden="1" customHeight="1">
      <c r="A710" s="1807"/>
      <c r="B710" s="1806"/>
      <c r="C710" s="1934"/>
      <c r="D710" s="1933"/>
      <c r="E710" s="1804"/>
      <c r="F710" s="1803"/>
      <c r="G710" s="1804"/>
      <c r="H710" s="1801" t="s">
        <v>746</v>
      </c>
      <c r="I710" s="1800" t="s">
        <v>194</v>
      </c>
      <c r="J710" s="1799" t="s">
        <v>747</v>
      </c>
      <c r="K710" s="1846"/>
      <c r="L710" s="1845"/>
      <c r="M710" s="1798" t="s">
        <v>194</v>
      </c>
      <c r="N710" s="1799" t="s">
        <v>748</v>
      </c>
      <c r="O710" s="1796"/>
      <c r="P710" s="1796"/>
      <c r="Q710" s="1796"/>
      <c r="R710" s="1796"/>
      <c r="S710" s="1796"/>
      <c r="T710" s="1796"/>
      <c r="U710" s="1796"/>
      <c r="V710" s="1796"/>
      <c r="W710" s="1796"/>
      <c r="X710" s="1795"/>
      <c r="Y710" s="1873" t="s">
        <v>194</v>
      </c>
      <c r="Z710" s="1872" t="s">
        <v>749</v>
      </c>
      <c r="AA710" s="1872"/>
      <c r="AB710" s="1929"/>
      <c r="AC710" s="1959"/>
      <c r="AD710" s="1959"/>
      <c r="AE710" s="1959"/>
      <c r="AF710" s="1959"/>
      <c r="AG710" s="1735" t="str">
        <f>"ser_code = '" &amp; IF(A727="■",52,"") &amp; "'"</f>
        <v>ser_code = ''</v>
      </c>
      <c r="AI710" s="1735" t="str">
        <f>"52:yakan_kinmu_code:" &amp; IF(I710="■",1,IF(M710="■",6,0))</f>
        <v>52:yakan_kinmu_code:0</v>
      </c>
      <c r="AJ710" s="1735" t="str">
        <f>"52:field203:" &amp; IF(Y710="■",1,IF(Y711="■",2,0))</f>
        <v>52:field203:0</v>
      </c>
    </row>
    <row r="711" spans="1:36" s="1735" customFormat="1" ht="18.75" hidden="1" customHeight="1">
      <c r="A711" s="1766"/>
      <c r="B711" s="1765"/>
      <c r="C711" s="1916"/>
      <c r="D711" s="1915"/>
      <c r="E711" s="1762"/>
      <c r="F711" s="1761"/>
      <c r="G711" s="1762"/>
      <c r="H711" s="1925" t="s">
        <v>98</v>
      </c>
      <c r="I711" s="1924" t="s">
        <v>194</v>
      </c>
      <c r="J711" s="1923" t="s">
        <v>750</v>
      </c>
      <c r="K711" s="1923"/>
      <c r="L711" s="1785"/>
      <c r="M711" s="1922" t="s">
        <v>194</v>
      </c>
      <c r="N711" s="1923" t="s">
        <v>1568</v>
      </c>
      <c r="O711" s="1923"/>
      <c r="P711" s="1785"/>
      <c r="Q711" s="1922" t="s">
        <v>194</v>
      </c>
      <c r="R711" s="1785" t="s">
        <v>1615</v>
      </c>
      <c r="S711" s="1785"/>
      <c r="T711" s="1785"/>
      <c r="U711" s="1922" t="s">
        <v>194</v>
      </c>
      <c r="V711" s="1785" t="s">
        <v>1614</v>
      </c>
      <c r="W711" s="1785"/>
      <c r="X711" s="1784"/>
      <c r="Y711" s="1776" t="s">
        <v>194</v>
      </c>
      <c r="Z711" s="1738" t="s">
        <v>754</v>
      </c>
      <c r="AA711" s="1913"/>
      <c r="AB711" s="1794"/>
      <c r="AC711" s="1954"/>
      <c r="AD711" s="1954"/>
      <c r="AE711" s="1954"/>
      <c r="AF711" s="1954"/>
      <c r="AG711" s="1735" t="str">
        <f>"52:sisetukbn_code:" &amp; IF(D726="■",5,IF(D727="■",7,0))</f>
        <v>52:sisetukbn_code:0</v>
      </c>
      <c r="AI711" s="1735" t="str">
        <f>"52:"&amp;IF(AND(I711="□",M711="□",Q711="□",U711="□",I712="□",M712="□",Q712="□",I713="□"),"ketu_doctor_code:0",IF(I711="■","ketu_doctor_code:1:ketu_kangos_code:1:ketu_kshoku_code:1:ketu_rryoho_code:1:ketu_sryoho_code:1:ketu_ksiensou_code:1:ketu_gengo_code:1",IF(M711="■","ketu_doctor_code:2","ketu_doctor_code:1")
&amp;IF(Q711="■",":ketu_kangos_code:2",":ketu_kangos_code:1")
&amp;IF(U711="■",":ketu_kshoku_code:2",":ketu_kshoku_code:1")
&amp;IF(I712="■",":ketu_rryoho_code:2",":ketu_rryoho_code:1")
&amp;IF(M712="■",":ketu_sryoho_code:2",":ketu_sryoho_code:1")
&amp;IF(Q712="■",":ketu_ksiensou_code:2",":ketu_ksiensou_code:1")
&amp;IF(I713="■",":ketu_gengo_code:2",":ketu_gengo_code:1")))</f>
        <v>52:ketu_doctor_code:0</v>
      </c>
    </row>
    <row r="712" spans="1:36" s="1735" customFormat="1" ht="18.75" hidden="1" customHeight="1">
      <c r="A712" s="1766"/>
      <c r="B712" s="1765"/>
      <c r="C712" s="1916"/>
      <c r="D712" s="1915"/>
      <c r="E712" s="1762"/>
      <c r="F712" s="1761"/>
      <c r="G712" s="1762"/>
      <c r="H712" s="1958"/>
      <c r="I712" s="1776" t="s">
        <v>194</v>
      </c>
      <c r="J712" s="1738" t="s">
        <v>1613</v>
      </c>
      <c r="K712" s="1738"/>
      <c r="L712" s="1734"/>
      <c r="M712" s="1878" t="s">
        <v>194</v>
      </c>
      <c r="N712" s="1738" t="s">
        <v>1612</v>
      </c>
      <c r="O712" s="1738"/>
      <c r="P712" s="1734"/>
      <c r="Q712" s="1878" t="s">
        <v>194</v>
      </c>
      <c r="R712" s="1734" t="s">
        <v>1611</v>
      </c>
      <c r="S712" s="1734"/>
      <c r="T712" s="1734"/>
      <c r="U712" s="1734"/>
      <c r="V712" s="1734"/>
      <c r="W712" s="1734"/>
      <c r="X712" s="1957"/>
      <c r="Y712" s="1914"/>
      <c r="Z712" s="1913"/>
      <c r="AA712" s="1913"/>
      <c r="AB712" s="1794"/>
      <c r="AC712" s="1954"/>
      <c r="AD712" s="1954"/>
      <c r="AE712" s="1954"/>
      <c r="AF712" s="1954"/>
    </row>
    <row r="713" spans="1:36" s="1735" customFormat="1" ht="18.75" hidden="1" customHeight="1">
      <c r="A713" s="1766"/>
      <c r="B713" s="1765"/>
      <c r="C713" s="1916"/>
      <c r="D713" s="1915"/>
      <c r="E713" s="1762"/>
      <c r="F713" s="1761"/>
      <c r="G713" s="1762"/>
      <c r="H713" s="1921"/>
      <c r="I713" s="1758" t="s">
        <v>194</v>
      </c>
      <c r="J713" s="1756" t="s">
        <v>1610</v>
      </c>
      <c r="K713" s="1756"/>
      <c r="L713" s="1780"/>
      <c r="M713" s="1756"/>
      <c r="N713" s="1756"/>
      <c r="O713" s="1756"/>
      <c r="P713" s="1780"/>
      <c r="Q713" s="1756"/>
      <c r="R713" s="1780"/>
      <c r="S713" s="1780"/>
      <c r="T713" s="1780"/>
      <c r="U713" s="1780"/>
      <c r="V713" s="1780"/>
      <c r="W713" s="1780"/>
      <c r="X713" s="1779"/>
      <c r="Y713" s="1914"/>
      <c r="Z713" s="1913"/>
      <c r="AA713" s="1913"/>
      <c r="AB713" s="1794"/>
      <c r="AC713" s="1954"/>
      <c r="AD713" s="1954"/>
      <c r="AE713" s="1954"/>
      <c r="AF713" s="1954"/>
    </row>
    <row r="714" spans="1:36" s="1735" customFormat="1" ht="18.75" hidden="1" customHeight="1">
      <c r="A714" s="1766"/>
      <c r="B714" s="1765"/>
      <c r="C714" s="1916"/>
      <c r="D714" s="1915"/>
      <c r="E714" s="1762"/>
      <c r="F714" s="1761"/>
      <c r="G714" s="1762"/>
      <c r="H714" s="1769" t="s">
        <v>99</v>
      </c>
      <c r="I714" s="1773" t="s">
        <v>194</v>
      </c>
      <c r="J714" s="1754" t="s">
        <v>755</v>
      </c>
      <c r="K714" s="1789"/>
      <c r="L714" s="1791"/>
      <c r="M714" s="1772" t="s">
        <v>194</v>
      </c>
      <c r="N714" s="1754" t="s">
        <v>756</v>
      </c>
      <c r="O714" s="1789"/>
      <c r="P714" s="1789"/>
      <c r="Q714" s="1768"/>
      <c r="R714" s="1768"/>
      <c r="S714" s="1768"/>
      <c r="T714" s="1768"/>
      <c r="U714" s="1768"/>
      <c r="V714" s="1768"/>
      <c r="W714" s="1768"/>
      <c r="X714" s="1767"/>
      <c r="Y714" s="1914"/>
      <c r="Z714" s="1913"/>
      <c r="AA714" s="1913"/>
      <c r="AB714" s="1794"/>
      <c r="AC714" s="1954"/>
      <c r="AD714" s="1954"/>
      <c r="AE714" s="1954"/>
      <c r="AF714" s="1954"/>
      <c r="AI714" s="1735" t="str">
        <f>"52:unitcare_code:" &amp; IF(I714="■",1,IF(M714="■",2,0))</f>
        <v>52:unitcare_code:0</v>
      </c>
    </row>
    <row r="715" spans="1:36" s="1735" customFormat="1" ht="18.75" hidden="1" customHeight="1">
      <c r="A715" s="1766"/>
      <c r="B715" s="1765"/>
      <c r="C715" s="1916"/>
      <c r="D715" s="1915"/>
      <c r="E715" s="1762"/>
      <c r="F715" s="1761"/>
      <c r="G715" s="1762"/>
      <c r="H715" s="1769" t="s">
        <v>757</v>
      </c>
      <c r="I715" s="1773" t="s">
        <v>194</v>
      </c>
      <c r="J715" s="1754" t="s">
        <v>758</v>
      </c>
      <c r="K715" s="1789"/>
      <c r="L715" s="1791"/>
      <c r="M715" s="1772" t="s">
        <v>194</v>
      </c>
      <c r="N715" s="1754" t="s">
        <v>759</v>
      </c>
      <c r="O715" s="1789"/>
      <c r="P715" s="1789"/>
      <c r="Q715" s="1768"/>
      <c r="R715" s="1768"/>
      <c r="S715" s="1768"/>
      <c r="T715" s="1768"/>
      <c r="U715" s="1768"/>
      <c r="V715" s="1768"/>
      <c r="W715" s="1768"/>
      <c r="X715" s="1767"/>
      <c r="Y715" s="1914"/>
      <c r="Z715" s="1913"/>
      <c r="AA715" s="1913"/>
      <c r="AB715" s="1794"/>
      <c r="AC715" s="1954"/>
      <c r="AD715" s="1954"/>
      <c r="AE715" s="1954"/>
      <c r="AF715" s="1954"/>
      <c r="AI715" s="1735" t="str">
        <f>"52:sintaikousoku_code:" &amp; IF(I715="■",1,IF(M715="■",2,0))</f>
        <v>52:sintaikousoku_code:0</v>
      </c>
    </row>
    <row r="716" spans="1:36" s="1735" customFormat="1" ht="18.75" hidden="1" customHeight="1">
      <c r="A716" s="1766"/>
      <c r="B716" s="1765"/>
      <c r="C716" s="1916"/>
      <c r="D716" s="1915"/>
      <c r="E716" s="1762"/>
      <c r="F716" s="1761"/>
      <c r="G716" s="1762"/>
      <c r="H716" s="1769" t="s">
        <v>448</v>
      </c>
      <c r="I716" s="1773" t="s">
        <v>194</v>
      </c>
      <c r="J716" s="1754" t="s">
        <v>758</v>
      </c>
      <c r="K716" s="1789"/>
      <c r="L716" s="1791"/>
      <c r="M716" s="1772" t="s">
        <v>194</v>
      </c>
      <c r="N716" s="1754" t="s">
        <v>759</v>
      </c>
      <c r="O716" s="1789"/>
      <c r="P716" s="1789"/>
      <c r="Q716" s="1768"/>
      <c r="R716" s="1768"/>
      <c r="S716" s="1768"/>
      <c r="T716" s="1768"/>
      <c r="U716" s="1768"/>
      <c r="V716" s="1768"/>
      <c r="W716" s="1768"/>
      <c r="X716" s="1767"/>
      <c r="Y716" s="1914"/>
      <c r="Z716" s="1913"/>
      <c r="AA716" s="1913"/>
      <c r="AB716" s="1794"/>
      <c r="AC716" s="1954"/>
      <c r="AD716" s="1954"/>
      <c r="AE716" s="1954"/>
      <c r="AF716" s="1954"/>
      <c r="AI716" s="1735" t="str">
        <f>"52:field208:" &amp; IF(I716="■",1,IF(M716="■",2,0))</f>
        <v>52:field208:0</v>
      </c>
    </row>
    <row r="717" spans="1:36" s="1735" customFormat="1" ht="19.5" hidden="1" customHeight="1">
      <c r="A717" s="1766"/>
      <c r="B717" s="1765"/>
      <c r="C717" s="1764"/>
      <c r="D717" s="1763"/>
      <c r="E717" s="1762"/>
      <c r="F717" s="1761"/>
      <c r="G717" s="1793"/>
      <c r="H717" s="1792" t="s">
        <v>760</v>
      </c>
      <c r="I717" s="1773" t="s">
        <v>194</v>
      </c>
      <c r="J717" s="1754" t="s">
        <v>758</v>
      </c>
      <c r="K717" s="1789"/>
      <c r="L717" s="1791"/>
      <c r="M717" s="1772" t="s">
        <v>194</v>
      </c>
      <c r="N717" s="1754" t="s">
        <v>761</v>
      </c>
      <c r="O717" s="1920"/>
      <c r="P717" s="1754"/>
      <c r="Q717" s="1768"/>
      <c r="R717" s="1768"/>
      <c r="S717" s="1768"/>
      <c r="T717" s="1768"/>
      <c r="U717" s="1768"/>
      <c r="V717" s="1768"/>
      <c r="W717" s="1768"/>
      <c r="X717" s="1767"/>
      <c r="Y717" s="1913"/>
      <c r="Z717" s="1913"/>
      <c r="AA717" s="1913"/>
      <c r="AB717" s="1794"/>
      <c r="AC717" s="1954"/>
      <c r="AD717" s="1954"/>
      <c r="AE717" s="1954"/>
      <c r="AF717" s="1954"/>
      <c r="AI717" s="1735" t="str">
        <f>"52:field223:" &amp; IF(I717="■",1,IF(M717="■",2,0))</f>
        <v>52:field223:0</v>
      </c>
    </row>
    <row r="718" spans="1:36" s="1735" customFormat="1" ht="19.5" hidden="1" customHeight="1">
      <c r="A718" s="1766"/>
      <c r="B718" s="1765"/>
      <c r="C718" s="1764"/>
      <c r="D718" s="1763"/>
      <c r="E718" s="1762"/>
      <c r="F718" s="1761"/>
      <c r="G718" s="1793"/>
      <c r="H718" s="1792" t="s">
        <v>762</v>
      </c>
      <c r="I718" s="1773" t="s">
        <v>194</v>
      </c>
      <c r="J718" s="1754" t="s">
        <v>758</v>
      </c>
      <c r="K718" s="1789"/>
      <c r="L718" s="1791"/>
      <c r="M718" s="1772" t="s">
        <v>194</v>
      </c>
      <c r="N718" s="1754" t="s">
        <v>761</v>
      </c>
      <c r="O718" s="1920"/>
      <c r="P718" s="1754"/>
      <c r="Q718" s="1768"/>
      <c r="R718" s="1768"/>
      <c r="S718" s="1768"/>
      <c r="T718" s="1768"/>
      <c r="U718" s="1768"/>
      <c r="V718" s="1768"/>
      <c r="W718" s="1768"/>
      <c r="X718" s="1767"/>
      <c r="Y718" s="1913"/>
      <c r="Z718" s="1913"/>
      <c r="AA718" s="1913"/>
      <c r="AB718" s="1794"/>
      <c r="AC718" s="1954"/>
      <c r="AD718" s="1954"/>
      <c r="AE718" s="1954"/>
      <c r="AF718" s="1954"/>
      <c r="AI718" s="1735" t="str">
        <f>"52:field232:" &amp; IF(I718="■",1,IF(M718="■",2,0))</f>
        <v>52:field232:0</v>
      </c>
    </row>
    <row r="719" spans="1:36" s="1735" customFormat="1" ht="37.5" hidden="1" customHeight="1">
      <c r="A719" s="1766"/>
      <c r="B719" s="1765"/>
      <c r="C719" s="1916"/>
      <c r="D719" s="1915"/>
      <c r="E719" s="1762"/>
      <c r="F719" s="1761"/>
      <c r="G719" s="1762"/>
      <c r="H719" s="1759" t="s">
        <v>763</v>
      </c>
      <c r="I719" s="1758" t="s">
        <v>194</v>
      </c>
      <c r="J719" s="1756" t="s">
        <v>750</v>
      </c>
      <c r="K719" s="1755"/>
      <c r="L719" s="1757" t="s">
        <v>194</v>
      </c>
      <c r="M719" s="1756" t="s">
        <v>764</v>
      </c>
      <c r="N719" s="1789"/>
      <c r="O719" s="1771"/>
      <c r="P719" s="1771"/>
      <c r="Q719" s="1771"/>
      <c r="R719" s="1771"/>
      <c r="S719" s="1771"/>
      <c r="T719" s="1771"/>
      <c r="U719" s="1771"/>
      <c r="V719" s="1771"/>
      <c r="W719" s="1771"/>
      <c r="X719" s="1770"/>
      <c r="Y719" s="1914"/>
      <c r="Z719" s="1913"/>
      <c r="AA719" s="1913"/>
      <c r="AB719" s="1794"/>
      <c r="AC719" s="1954"/>
      <c r="AD719" s="1954"/>
      <c r="AE719" s="1954"/>
      <c r="AF719" s="1954"/>
      <c r="AI719" s="1735" t="str">
        <f>"52:field206:" &amp; IF(I719="■",1,IF(L719="■",2,0))</f>
        <v>52:field206:0</v>
      </c>
    </row>
    <row r="720" spans="1:36" s="835" customFormat="1" ht="19.5" hidden="1" customHeight="1">
      <c r="A720" s="338"/>
      <c r="B720" s="833"/>
      <c r="C720" s="341"/>
      <c r="D720" s="834"/>
      <c r="E720" s="836"/>
      <c r="F720" s="832"/>
      <c r="G720" s="385"/>
      <c r="H720" s="1945" t="s">
        <v>1597</v>
      </c>
      <c r="I720" s="1773" t="s">
        <v>194</v>
      </c>
      <c r="J720" s="1941" t="s">
        <v>1595</v>
      </c>
      <c r="K720" s="1944"/>
      <c r="L720" s="1943"/>
      <c r="M720" s="1772" t="s">
        <v>194</v>
      </c>
      <c r="N720" s="1941" t="s">
        <v>1594</v>
      </c>
      <c r="O720" s="1942"/>
      <c r="P720" s="1941"/>
      <c r="Q720" s="1940"/>
      <c r="R720" s="1940"/>
      <c r="S720" s="1940"/>
      <c r="T720" s="1940"/>
      <c r="U720" s="1940"/>
      <c r="V720" s="1940"/>
      <c r="W720" s="1940"/>
      <c r="X720" s="1939"/>
      <c r="Y720" s="557"/>
      <c r="Z720" s="2"/>
      <c r="AA720" s="837"/>
      <c r="AB720" s="339"/>
      <c r="AC720" s="1954"/>
      <c r="AD720" s="1954"/>
      <c r="AE720" s="1954"/>
      <c r="AF720" s="1954"/>
      <c r="AI720" s="1735" t="str">
        <f>"52:field242:" &amp; IF(I720="■",1,IF(M720="■",2,0))</f>
        <v>52:field242:0</v>
      </c>
    </row>
    <row r="721" spans="1:35" s="1735" customFormat="1" ht="18.75" hidden="1" customHeight="1">
      <c r="A721" s="1766"/>
      <c r="B721" s="1765"/>
      <c r="C721" s="1916"/>
      <c r="D721" s="1915"/>
      <c r="E721" s="1762"/>
      <c r="F721" s="1761"/>
      <c r="G721" s="1762"/>
      <c r="H721" s="1769" t="s">
        <v>768</v>
      </c>
      <c r="I721" s="1758" t="s">
        <v>194</v>
      </c>
      <c r="J721" s="1756" t="s">
        <v>750</v>
      </c>
      <c r="K721" s="1755"/>
      <c r="L721" s="1757" t="s">
        <v>194</v>
      </c>
      <c r="M721" s="1756" t="s">
        <v>764</v>
      </c>
      <c r="N721" s="1789"/>
      <c r="O721" s="1768"/>
      <c r="P721" s="1768"/>
      <c r="Q721" s="1768"/>
      <c r="R721" s="1768"/>
      <c r="S721" s="1768"/>
      <c r="T721" s="1768"/>
      <c r="U721" s="1768"/>
      <c r="V721" s="1768"/>
      <c r="W721" s="1768"/>
      <c r="X721" s="1767"/>
      <c r="Y721" s="1914"/>
      <c r="Z721" s="1913"/>
      <c r="AA721" s="1913"/>
      <c r="AB721" s="1794"/>
      <c r="AC721" s="1954"/>
      <c r="AD721" s="1954"/>
      <c r="AE721" s="1954"/>
      <c r="AF721" s="1954"/>
      <c r="AI721" s="1735" t="str">
        <f>"52:yakinhaiti_code:" &amp; IF(I721="■",1,IF(L721="■",2,0))</f>
        <v>52:yakinhaiti_code:0</v>
      </c>
    </row>
    <row r="722" spans="1:35" s="1735" customFormat="1" ht="18.75" hidden="1" customHeight="1">
      <c r="A722" s="1766"/>
      <c r="B722" s="1765"/>
      <c r="C722" s="1916"/>
      <c r="D722" s="1915"/>
      <c r="E722" s="1762"/>
      <c r="F722" s="1761"/>
      <c r="G722" s="1762"/>
      <c r="H722" s="1769" t="s">
        <v>1627</v>
      </c>
      <c r="I722" s="1758" t="s">
        <v>194</v>
      </c>
      <c r="J722" s="1756" t="s">
        <v>750</v>
      </c>
      <c r="K722" s="1755"/>
      <c r="L722" s="1757" t="s">
        <v>194</v>
      </c>
      <c r="M722" s="1756" t="s">
        <v>764</v>
      </c>
      <c r="N722" s="1789"/>
      <c r="O722" s="1754"/>
      <c r="P722" s="1754"/>
      <c r="Q722" s="1754"/>
      <c r="R722" s="1754"/>
      <c r="S722" s="1754"/>
      <c r="T722" s="1754"/>
      <c r="U722" s="1754"/>
      <c r="V722" s="1754"/>
      <c r="W722" s="1754"/>
      <c r="X722" s="1753"/>
      <c r="Y722" s="1914"/>
      <c r="Z722" s="1913"/>
      <c r="AA722" s="1913"/>
      <c r="AB722" s="1794"/>
      <c r="AC722" s="1954"/>
      <c r="AD722" s="1954"/>
      <c r="AE722" s="1954"/>
      <c r="AF722" s="1954"/>
      <c r="AI722" s="1735" t="str">
        <f>"52:ninti_riha_code:" &amp; IF(I722="■",1,IF(L722="■",2,0))</f>
        <v>52:ninti_riha_code:0</v>
      </c>
    </row>
    <row r="723" spans="1:35" s="1735" customFormat="1" ht="18.75" hidden="1" customHeight="1">
      <c r="A723" s="1766"/>
      <c r="B723" s="1765"/>
      <c r="C723" s="1916"/>
      <c r="D723" s="1915"/>
      <c r="E723" s="1762"/>
      <c r="F723" s="1761"/>
      <c r="G723" s="1762"/>
      <c r="H723" s="1769" t="s">
        <v>1607</v>
      </c>
      <c r="I723" s="1758" t="s">
        <v>194</v>
      </c>
      <c r="J723" s="1756" t="s">
        <v>750</v>
      </c>
      <c r="K723" s="1755"/>
      <c r="L723" s="1757" t="s">
        <v>194</v>
      </c>
      <c r="M723" s="1756" t="s">
        <v>764</v>
      </c>
      <c r="N723" s="1789"/>
      <c r="O723" s="1768"/>
      <c r="P723" s="1768"/>
      <c r="Q723" s="1768"/>
      <c r="R723" s="1768"/>
      <c r="S723" s="1768"/>
      <c r="T723" s="1768"/>
      <c r="U723" s="1768"/>
      <c r="V723" s="1768"/>
      <c r="W723" s="1768"/>
      <c r="X723" s="1767"/>
      <c r="Y723" s="1914"/>
      <c r="Z723" s="1913"/>
      <c r="AA723" s="1913"/>
      <c r="AB723" s="1794"/>
      <c r="AC723" s="1954"/>
      <c r="AD723" s="1954"/>
      <c r="AE723" s="1954"/>
      <c r="AF723" s="1954"/>
      <c r="AI723" s="1735" t="str">
        <f>"52:ninticare_code:" &amp; IF(I723="■",1,IF(L723="■",2,0))</f>
        <v>52:ninticare_code:0</v>
      </c>
    </row>
    <row r="724" spans="1:35" s="1735" customFormat="1" ht="18.75" hidden="1" customHeight="1">
      <c r="A724" s="1766"/>
      <c r="B724" s="1765"/>
      <c r="C724" s="1916"/>
      <c r="D724" s="1915"/>
      <c r="E724" s="1762"/>
      <c r="F724" s="1761"/>
      <c r="G724" s="1762"/>
      <c r="H724" s="1955" t="s">
        <v>782</v>
      </c>
      <c r="I724" s="1758" t="s">
        <v>194</v>
      </c>
      <c r="J724" s="1756" t="s">
        <v>750</v>
      </c>
      <c r="K724" s="1755"/>
      <c r="L724" s="1757" t="s">
        <v>194</v>
      </c>
      <c r="M724" s="1756" t="s">
        <v>764</v>
      </c>
      <c r="N724" s="1789"/>
      <c r="O724" s="1768"/>
      <c r="P724" s="1768"/>
      <c r="Q724" s="1768"/>
      <c r="R724" s="1768"/>
      <c r="S724" s="1768"/>
      <c r="T724" s="1768"/>
      <c r="U724" s="1768"/>
      <c r="V724" s="1768"/>
      <c r="W724" s="1768"/>
      <c r="X724" s="1767"/>
      <c r="Y724" s="1914"/>
      <c r="Z724" s="1913"/>
      <c r="AA724" s="1913"/>
      <c r="AB724" s="1794"/>
      <c r="AC724" s="1954"/>
      <c r="AD724" s="1954"/>
      <c r="AE724" s="1954"/>
      <c r="AF724" s="1954"/>
      <c r="AI724" s="1735" t="str">
        <f>"52:jyakuninti_uke_code:" &amp; IF(I724="■",1,IF(L724="■",2,0))</f>
        <v>52:jyakuninti_uke_code:0</v>
      </c>
    </row>
    <row r="725" spans="1:35" s="1735" customFormat="1" ht="18.75" hidden="1" customHeight="1">
      <c r="A725" s="1766"/>
      <c r="B725" s="1765"/>
      <c r="C725" s="1916"/>
      <c r="D725" s="1915"/>
      <c r="E725" s="1762"/>
      <c r="F725" s="1761"/>
      <c r="G725" s="1762"/>
      <c r="H725" s="1769" t="s">
        <v>1606</v>
      </c>
      <c r="I725" s="1758" t="s">
        <v>194</v>
      </c>
      <c r="J725" s="1756" t="s">
        <v>750</v>
      </c>
      <c r="K725" s="1755"/>
      <c r="L725" s="1757" t="s">
        <v>194</v>
      </c>
      <c r="M725" s="1756" t="s">
        <v>764</v>
      </c>
      <c r="N725" s="1789"/>
      <c r="O725" s="1768"/>
      <c r="P725" s="1768"/>
      <c r="Q725" s="1768"/>
      <c r="R725" s="1768"/>
      <c r="S725" s="1768"/>
      <c r="T725" s="1768"/>
      <c r="U725" s="1768"/>
      <c r="V725" s="1768"/>
      <c r="W725" s="1768"/>
      <c r="X725" s="1767"/>
      <c r="Y725" s="1914"/>
      <c r="Z725" s="1913"/>
      <c r="AA725" s="1913"/>
      <c r="AB725" s="1794"/>
      <c r="AC725" s="1954"/>
      <c r="AD725" s="1954"/>
      <c r="AE725" s="1954"/>
      <c r="AF725" s="1954"/>
      <c r="AI725" s="1735" t="str">
        <f>"52:terminal_code:" &amp; IF(I725="■",1,IF(L725="■",2,0))</f>
        <v>52:terminal_code:0</v>
      </c>
    </row>
    <row r="726" spans="1:35" s="1735" customFormat="1" ht="18.75" hidden="1" customHeight="1">
      <c r="A726" s="1766"/>
      <c r="B726" s="1765"/>
      <c r="C726" s="1916"/>
      <c r="D726" s="1776" t="s">
        <v>194</v>
      </c>
      <c r="E726" s="1762" t="s">
        <v>1629</v>
      </c>
      <c r="F726" s="1761"/>
      <c r="G726" s="1762"/>
      <c r="H726" s="1769" t="s">
        <v>1625</v>
      </c>
      <c r="I726" s="1773" t="s">
        <v>194</v>
      </c>
      <c r="J726" s="1754" t="s">
        <v>1589</v>
      </c>
      <c r="K726" s="1754"/>
      <c r="L726" s="1768"/>
      <c r="M726" s="1768"/>
      <c r="N726" s="1768"/>
      <c r="O726" s="1768"/>
      <c r="P726" s="1772" t="s">
        <v>194</v>
      </c>
      <c r="Q726" s="1754" t="s">
        <v>1588</v>
      </c>
      <c r="R726" s="1768"/>
      <c r="S726" s="1768"/>
      <c r="T726" s="1768"/>
      <c r="U726" s="1768"/>
      <c r="V726" s="1768"/>
      <c r="W726" s="1768"/>
      <c r="X726" s="1767"/>
      <c r="Y726" s="1914"/>
      <c r="Z726" s="1913"/>
      <c r="AA726" s="1913"/>
      <c r="AB726" s="1794"/>
      <c r="AC726" s="1954"/>
      <c r="AD726" s="1954"/>
      <c r="AE726" s="1954"/>
      <c r="AF726" s="1954"/>
      <c r="AI726" s="1735" t="str">
        <f>"52:" &amp; IF(AND(I726="□",P726="□"),"tokusin_jyusho_code:0:tokusin_yakuzai_code:0",IF(I726="■","tokusin_jyusho_code:2","tokusin_jyusho_code:1")
&amp;IF(P726="■",":tokusin_yakuzai_code:2",":tokusin_yakuzai_code:1"))</f>
        <v>52:tokusin_jyusho_code:0:tokusin_yakuzai_code:0</v>
      </c>
    </row>
    <row r="727" spans="1:35" s="1735" customFormat="1" ht="18.75" hidden="1" customHeight="1">
      <c r="A727" s="1776" t="s">
        <v>194</v>
      </c>
      <c r="B727" s="1765">
        <v>52</v>
      </c>
      <c r="C727" s="1916" t="s">
        <v>1609</v>
      </c>
      <c r="D727" s="1776" t="s">
        <v>194</v>
      </c>
      <c r="E727" s="1762" t="s">
        <v>1628</v>
      </c>
      <c r="F727" s="1761"/>
      <c r="G727" s="1762"/>
      <c r="H727" s="1769" t="s">
        <v>1623</v>
      </c>
      <c r="I727" s="1758" t="s">
        <v>194</v>
      </c>
      <c r="J727" s="1756" t="s">
        <v>750</v>
      </c>
      <c r="K727" s="1755"/>
      <c r="L727" s="1757" t="s">
        <v>194</v>
      </c>
      <c r="M727" s="1756" t="s">
        <v>764</v>
      </c>
      <c r="N727" s="1789"/>
      <c r="O727" s="1771"/>
      <c r="P727" s="1771"/>
      <c r="Q727" s="1771"/>
      <c r="R727" s="1771"/>
      <c r="S727" s="1771"/>
      <c r="T727" s="1771"/>
      <c r="U727" s="1771"/>
      <c r="V727" s="1771"/>
      <c r="W727" s="1771"/>
      <c r="X727" s="1770"/>
      <c r="Y727" s="1914"/>
      <c r="Z727" s="1913"/>
      <c r="AA727" s="1913"/>
      <c r="AB727" s="1794"/>
      <c r="AC727" s="1954"/>
      <c r="AD727" s="1954"/>
      <c r="AE727" s="1954"/>
      <c r="AF727" s="1954"/>
      <c r="AI727" s="1735" t="str">
        <f>"52:field198:" &amp; IF(I727="■",1,IF(L727="■",2,0))</f>
        <v>52:field198:0</v>
      </c>
    </row>
    <row r="728" spans="1:35" s="1735" customFormat="1" ht="18.75" hidden="1" customHeight="1">
      <c r="A728" s="1766"/>
      <c r="B728" s="1765"/>
      <c r="C728" s="1916"/>
      <c r="D728" s="1766"/>
      <c r="E728" s="1762"/>
      <c r="F728" s="1761"/>
      <c r="G728" s="1762"/>
      <c r="H728" s="1769" t="s">
        <v>1622</v>
      </c>
      <c r="I728" s="1758" t="s">
        <v>194</v>
      </c>
      <c r="J728" s="1756" t="s">
        <v>750</v>
      </c>
      <c r="K728" s="1755"/>
      <c r="L728" s="1757" t="s">
        <v>194</v>
      </c>
      <c r="M728" s="1756" t="s">
        <v>764</v>
      </c>
      <c r="N728" s="1789"/>
      <c r="O728" s="1771"/>
      <c r="P728" s="1771"/>
      <c r="Q728" s="1771"/>
      <c r="R728" s="1771"/>
      <c r="S728" s="1771"/>
      <c r="T728" s="1771"/>
      <c r="U728" s="1771"/>
      <c r="V728" s="1771"/>
      <c r="W728" s="1771"/>
      <c r="X728" s="1770"/>
      <c r="Y728" s="1914"/>
      <c r="Z728" s="1913"/>
      <c r="AA728" s="1913"/>
      <c r="AB728" s="1794"/>
      <c r="AC728" s="1954"/>
      <c r="AD728" s="1954"/>
      <c r="AE728" s="1954"/>
      <c r="AF728" s="1954"/>
      <c r="AI728" s="1735" t="str">
        <f>"52:field199:" &amp; IF(I728="■",1,IF(L728="■",2,0))</f>
        <v>52:field199:0</v>
      </c>
    </row>
    <row r="729" spans="1:35" s="1735" customFormat="1" ht="18.75" hidden="1" customHeight="1">
      <c r="A729" s="1766"/>
      <c r="B729" s="1765"/>
      <c r="C729" s="1916"/>
      <c r="D729" s="1915"/>
      <c r="E729" s="1762"/>
      <c r="F729" s="1761"/>
      <c r="G729" s="1762"/>
      <c r="H729" s="1769" t="s">
        <v>786</v>
      </c>
      <c r="I729" s="1758" t="s">
        <v>194</v>
      </c>
      <c r="J729" s="1756" t="s">
        <v>750</v>
      </c>
      <c r="K729" s="1755"/>
      <c r="L729" s="1757" t="s">
        <v>194</v>
      </c>
      <c r="M729" s="1756" t="s">
        <v>764</v>
      </c>
      <c r="N729" s="1789"/>
      <c r="O729" s="1768"/>
      <c r="P729" s="1768"/>
      <c r="Q729" s="1768"/>
      <c r="R729" s="1768"/>
      <c r="S729" s="1768"/>
      <c r="T729" s="1768"/>
      <c r="U729" s="1768"/>
      <c r="V729" s="1768"/>
      <c r="W729" s="1768"/>
      <c r="X729" s="1767"/>
      <c r="Y729" s="1914"/>
      <c r="Z729" s="1913"/>
      <c r="AA729" s="1913"/>
      <c r="AB729" s="1794"/>
      <c r="AC729" s="1954"/>
      <c r="AD729" s="1954"/>
      <c r="AE729" s="1954"/>
      <c r="AF729" s="1954"/>
      <c r="AI729" s="1735" t="str">
        <f>"52:field207:" &amp; IF(I729="■",1,IF(L729="■",2,0))</f>
        <v>52:field207:0</v>
      </c>
    </row>
    <row r="730" spans="1:35" s="1735" customFormat="1" ht="18.75" hidden="1" customHeight="1">
      <c r="A730" s="1766"/>
      <c r="B730" s="1765"/>
      <c r="C730" s="1916"/>
      <c r="D730" s="1766"/>
      <c r="E730" s="1762"/>
      <c r="F730" s="1761"/>
      <c r="G730" s="1762"/>
      <c r="H730" s="1769" t="s">
        <v>787</v>
      </c>
      <c r="I730" s="1758" t="s">
        <v>194</v>
      </c>
      <c r="J730" s="1756" t="s">
        <v>750</v>
      </c>
      <c r="K730" s="1755"/>
      <c r="L730" s="1757" t="s">
        <v>194</v>
      </c>
      <c r="M730" s="1756" t="s">
        <v>764</v>
      </c>
      <c r="N730" s="1789"/>
      <c r="O730" s="1768"/>
      <c r="P730" s="1768"/>
      <c r="Q730" s="1768"/>
      <c r="R730" s="1768"/>
      <c r="S730" s="1768"/>
      <c r="T730" s="1768"/>
      <c r="U730" s="1768"/>
      <c r="V730" s="1768"/>
      <c r="W730" s="1768"/>
      <c r="X730" s="1767"/>
      <c r="Y730" s="1914"/>
      <c r="Z730" s="1913"/>
      <c r="AA730" s="1913"/>
      <c r="AB730" s="1794"/>
      <c r="AC730" s="1954"/>
      <c r="AD730" s="1954"/>
      <c r="AE730" s="1954"/>
      <c r="AF730" s="1954"/>
      <c r="AI730" s="1735" t="str">
        <f>"52:ryouyoushoku_code:" &amp; IF(I730="■",1,IF(L730="■",2,0))</f>
        <v>52:ryouyoushoku_code:0</v>
      </c>
    </row>
    <row r="731" spans="1:35" s="1735" customFormat="1" ht="18.75" hidden="1" customHeight="1">
      <c r="A731" s="1766"/>
      <c r="B731" s="1765"/>
      <c r="C731" s="1916"/>
      <c r="D731" s="1915"/>
      <c r="E731" s="1762"/>
      <c r="F731" s="1761"/>
      <c r="G731" s="1762"/>
      <c r="H731" s="1769" t="s">
        <v>791</v>
      </c>
      <c r="I731" s="1773" t="s">
        <v>194</v>
      </c>
      <c r="J731" s="1754" t="s">
        <v>750</v>
      </c>
      <c r="K731" s="1754"/>
      <c r="L731" s="1772" t="s">
        <v>194</v>
      </c>
      <c r="M731" s="1754" t="s">
        <v>784</v>
      </c>
      <c r="N731" s="1754"/>
      <c r="O731" s="1772" t="s">
        <v>194</v>
      </c>
      <c r="P731" s="1754" t="s">
        <v>785</v>
      </c>
      <c r="Q731" s="1768"/>
      <c r="R731" s="1768"/>
      <c r="S731" s="1768"/>
      <c r="T731" s="1768"/>
      <c r="U731" s="1768"/>
      <c r="V731" s="1768"/>
      <c r="W731" s="1768"/>
      <c r="X731" s="1767"/>
      <c r="Y731" s="1914"/>
      <c r="Z731" s="1913"/>
      <c r="AA731" s="1913"/>
      <c r="AB731" s="1794"/>
      <c r="AC731" s="1954"/>
      <c r="AD731" s="1954"/>
      <c r="AE731" s="1954"/>
      <c r="AF731" s="1954"/>
      <c r="AI731" s="1735" t="str">
        <f>"52:ninti_senmoncare_code:" &amp; IF(I731="■",1,IF(O731="■",3,IF(L731="■",2,0)))</f>
        <v>52:ninti_senmoncare_code:0</v>
      </c>
    </row>
    <row r="732" spans="1:35" s="1735" customFormat="1" ht="18.75" hidden="1" customHeight="1">
      <c r="A732" s="1766"/>
      <c r="B732" s="1765"/>
      <c r="C732" s="1916"/>
      <c r="D732" s="1915"/>
      <c r="E732" s="1762"/>
      <c r="F732" s="1761"/>
      <c r="G732" s="1762"/>
      <c r="H732" s="1769" t="s">
        <v>792</v>
      </c>
      <c r="I732" s="1773" t="s">
        <v>194</v>
      </c>
      <c r="J732" s="1754" t="s">
        <v>750</v>
      </c>
      <c r="K732" s="1754"/>
      <c r="L732" s="1772" t="s">
        <v>194</v>
      </c>
      <c r="M732" s="1754" t="s">
        <v>784</v>
      </c>
      <c r="N732" s="1754"/>
      <c r="O732" s="1772" t="s">
        <v>194</v>
      </c>
      <c r="P732" s="1754" t="s">
        <v>785</v>
      </c>
      <c r="Q732" s="1789"/>
      <c r="R732" s="1789"/>
      <c r="S732" s="1789"/>
      <c r="T732" s="1789"/>
      <c r="U732" s="1789"/>
      <c r="V732" s="1789"/>
      <c r="W732" s="1789"/>
      <c r="X732" s="1918"/>
      <c r="Y732" s="1914"/>
      <c r="Z732" s="1913"/>
      <c r="AA732" s="1913"/>
      <c r="AB732" s="1794"/>
      <c r="AC732" s="1954"/>
      <c r="AD732" s="1954"/>
      <c r="AE732" s="1954"/>
      <c r="AF732" s="1954"/>
      <c r="AI732" s="1735" t="str">
        <f>"52:field228:" &amp; IF(I732="■",1,IF(L732="■",2,IF(O732="■",3,0)))</f>
        <v>52:field228:0</v>
      </c>
    </row>
    <row r="733" spans="1:35" s="1735" customFormat="1" ht="18.75" hidden="1" customHeight="1">
      <c r="A733" s="1766"/>
      <c r="B733" s="1765"/>
      <c r="C733" s="1916"/>
      <c r="D733" s="1915"/>
      <c r="E733" s="1762"/>
      <c r="F733" s="1761"/>
      <c r="G733" s="1762"/>
      <c r="H733" s="1925" t="s">
        <v>1584</v>
      </c>
      <c r="I733" s="1924" t="s">
        <v>194</v>
      </c>
      <c r="J733" s="1923" t="s">
        <v>1621</v>
      </c>
      <c r="K733" s="1938"/>
      <c r="L733" s="1923"/>
      <c r="M733" s="1923"/>
      <c r="N733" s="1923"/>
      <c r="O733" s="1829"/>
      <c r="P733" s="1829"/>
      <c r="Q733" s="1922" t="s">
        <v>194</v>
      </c>
      <c r="R733" s="1923" t="s">
        <v>1620</v>
      </c>
      <c r="S733" s="1785"/>
      <c r="T733" s="1785"/>
      <c r="U733" s="1785"/>
      <c r="V733" s="1785"/>
      <c r="W733" s="1785"/>
      <c r="X733" s="1784"/>
      <c r="Y733" s="1914"/>
      <c r="Z733" s="1913"/>
      <c r="AA733" s="1913"/>
      <c r="AB733" s="1794"/>
      <c r="AC733" s="1954"/>
      <c r="AD733" s="1954"/>
      <c r="AE733" s="1954"/>
      <c r="AF733" s="1954"/>
      <c r="AI733" s="1735" t="str">
        <f>"52:"&amp;IF(AND(I733="□",Q733="□",I734="□",Q734="□"),"koriha_rihasido_code:0:koriha_gengo_code:0:riha_seisin_code:0:koriha_other_code:0",IF(I733="■","koriha_rihasido_code:2","koriha_rihasido_code:1")
&amp;IF(Q733="■",":koriha_gengo_code:2",":koriha_gengo_code:1")
&amp;IF(I734="■",":riha_seisin_code:2",":riha_seisin_code:1")
&amp;IF(Q734="■",":koriha_other_code:2",":koriha_other_code:1"))</f>
        <v>52:koriha_rihasido_code:0:koriha_gengo_code:0:riha_seisin_code:0:koriha_other_code:0</v>
      </c>
    </row>
    <row r="734" spans="1:35" s="1735" customFormat="1" ht="18.75" hidden="1" customHeight="1">
      <c r="A734" s="1766"/>
      <c r="B734" s="1765"/>
      <c r="C734" s="1916"/>
      <c r="D734" s="1915"/>
      <c r="E734" s="1762"/>
      <c r="F734" s="1761"/>
      <c r="G734" s="1762"/>
      <c r="H734" s="1921"/>
      <c r="I734" s="1758" t="s">
        <v>194</v>
      </c>
      <c r="J734" s="1756" t="s">
        <v>1619</v>
      </c>
      <c r="K734" s="1827"/>
      <c r="L734" s="1923"/>
      <c r="M734" s="1827"/>
      <c r="N734" s="1827"/>
      <c r="O734" s="1827"/>
      <c r="P734" s="1827"/>
      <c r="Q734" s="1757" t="s">
        <v>194</v>
      </c>
      <c r="R734" s="1756" t="s">
        <v>1618</v>
      </c>
      <c r="S734" s="1780"/>
      <c r="T734" s="1780"/>
      <c r="U734" s="1780"/>
      <c r="V734" s="1780"/>
      <c r="W734" s="1780"/>
      <c r="X734" s="1779"/>
      <c r="Y734" s="1914"/>
      <c r="Z734" s="1913"/>
      <c r="AA734" s="1913"/>
      <c r="AB734" s="1794"/>
      <c r="AC734" s="1954"/>
      <c r="AD734" s="1954"/>
      <c r="AE734" s="1954"/>
      <c r="AF734" s="1954"/>
    </row>
    <row r="735" spans="1:35" s="1735" customFormat="1" ht="18.75" hidden="1" customHeight="1">
      <c r="A735" s="1766"/>
      <c r="B735" s="1765"/>
      <c r="C735" s="1916"/>
      <c r="D735" s="1915"/>
      <c r="E735" s="1762"/>
      <c r="F735" s="1761"/>
      <c r="G735" s="1762"/>
      <c r="H735" s="1777" t="s">
        <v>1617</v>
      </c>
      <c r="I735" s="1758" t="s">
        <v>194</v>
      </c>
      <c r="J735" s="1756" t="s">
        <v>750</v>
      </c>
      <c r="K735" s="1755"/>
      <c r="L735" s="1772" t="s">
        <v>194</v>
      </c>
      <c r="M735" s="1754" t="s">
        <v>773</v>
      </c>
      <c r="N735" s="1754"/>
      <c r="O735" s="1772" t="s">
        <v>194</v>
      </c>
      <c r="P735" s="1754" t="s">
        <v>774</v>
      </c>
      <c r="Q735" s="1789"/>
      <c r="R735" s="1789"/>
      <c r="S735" s="1789"/>
      <c r="T735" s="1789"/>
      <c r="U735" s="1789"/>
      <c r="V735" s="1789"/>
      <c r="W735" s="1789"/>
      <c r="X735" s="1918"/>
      <c r="Y735" s="1914"/>
      <c r="Z735" s="1913"/>
      <c r="AA735" s="1913"/>
      <c r="AB735" s="1794"/>
      <c r="AC735" s="1954"/>
      <c r="AD735" s="1954"/>
      <c r="AE735" s="1954"/>
      <c r="AF735" s="1954"/>
      <c r="AI735" s="1735" t="str">
        <f>"52:field216:" &amp; IF(I735="■",1,IF(L735="■",3,IF(O735="■",2,0)))</f>
        <v>52:field216:0</v>
      </c>
    </row>
    <row r="736" spans="1:35" s="1735" customFormat="1" ht="18.75" hidden="1" customHeight="1">
      <c r="A736" s="1766"/>
      <c r="B736" s="1765"/>
      <c r="C736" s="1916"/>
      <c r="D736" s="1915"/>
      <c r="E736" s="1762"/>
      <c r="F736" s="1761"/>
      <c r="G736" s="1762"/>
      <c r="H736" s="1777" t="s">
        <v>454</v>
      </c>
      <c r="I736" s="1758" t="s">
        <v>194</v>
      </c>
      <c r="J736" s="1756" t="s">
        <v>750</v>
      </c>
      <c r="K736" s="1755"/>
      <c r="L736" s="1757" t="s">
        <v>194</v>
      </c>
      <c r="M736" s="1756" t="s">
        <v>764</v>
      </c>
      <c r="N736" s="1789"/>
      <c r="O736" s="1768"/>
      <c r="P736" s="1768"/>
      <c r="Q736" s="1768"/>
      <c r="R736" s="1768"/>
      <c r="S736" s="1768"/>
      <c r="T736" s="1768"/>
      <c r="U736" s="1768"/>
      <c r="V736" s="1768"/>
      <c r="W736" s="1768"/>
      <c r="X736" s="1767"/>
      <c r="Y736" s="1914"/>
      <c r="Z736" s="1913"/>
      <c r="AA736" s="1913"/>
      <c r="AB736" s="1794"/>
      <c r="AC736" s="1954"/>
      <c r="AD736" s="1954"/>
      <c r="AE736" s="1954"/>
      <c r="AF736" s="1954"/>
      <c r="AI736" s="1735" t="str">
        <f>"52:field210:" &amp; IF(I736="■",1,IF(L736="■",2,0))</f>
        <v>52:field210:0</v>
      </c>
    </row>
    <row r="737" spans="1:36" s="1735" customFormat="1" ht="18.75" hidden="1" customHeight="1">
      <c r="A737" s="1766"/>
      <c r="B737" s="1765"/>
      <c r="C737" s="1916"/>
      <c r="D737" s="1915"/>
      <c r="E737" s="1762"/>
      <c r="F737" s="1761"/>
      <c r="G737" s="1762"/>
      <c r="H737" s="1769" t="s">
        <v>455</v>
      </c>
      <c r="I737" s="1758" t="s">
        <v>194</v>
      </c>
      <c r="J737" s="1756" t="s">
        <v>750</v>
      </c>
      <c r="K737" s="1755"/>
      <c r="L737" s="1757" t="s">
        <v>194</v>
      </c>
      <c r="M737" s="1756" t="s">
        <v>764</v>
      </c>
      <c r="N737" s="1789"/>
      <c r="O737" s="1768"/>
      <c r="P737" s="1768"/>
      <c r="Q737" s="1768"/>
      <c r="R737" s="1768"/>
      <c r="S737" s="1768"/>
      <c r="T737" s="1768"/>
      <c r="U737" s="1768"/>
      <c r="V737" s="1768"/>
      <c r="W737" s="1768"/>
      <c r="X737" s="1767"/>
      <c r="Y737" s="1914"/>
      <c r="Z737" s="1913"/>
      <c r="AA737" s="1913"/>
      <c r="AB737" s="1794"/>
      <c r="AC737" s="1954"/>
      <c r="AD737" s="1954"/>
      <c r="AE737" s="1954"/>
      <c r="AF737" s="1954"/>
      <c r="AI737" s="1735" t="str">
        <f>"52:field211:" &amp; IF(I737="■",1,IF(L737="■",2,0))</f>
        <v>52:field211:0</v>
      </c>
    </row>
    <row r="738" spans="1:36" s="1735" customFormat="1" ht="18.75" hidden="1" customHeight="1">
      <c r="A738" s="1766"/>
      <c r="B738" s="1765"/>
      <c r="C738" s="1916"/>
      <c r="D738" s="1915"/>
      <c r="E738" s="1762"/>
      <c r="F738" s="1761"/>
      <c r="G738" s="1762"/>
      <c r="H738" s="1769" t="s">
        <v>456</v>
      </c>
      <c r="I738" s="1758" t="s">
        <v>194</v>
      </c>
      <c r="J738" s="1756" t="s">
        <v>750</v>
      </c>
      <c r="K738" s="1755"/>
      <c r="L738" s="1757" t="s">
        <v>194</v>
      </c>
      <c r="M738" s="1756" t="s">
        <v>764</v>
      </c>
      <c r="N738" s="1789"/>
      <c r="O738" s="1768"/>
      <c r="P738" s="1768"/>
      <c r="Q738" s="1768"/>
      <c r="R738" s="1768"/>
      <c r="S738" s="1768"/>
      <c r="T738" s="1768"/>
      <c r="U738" s="1768"/>
      <c r="V738" s="1768"/>
      <c r="W738" s="1768"/>
      <c r="X738" s="1767"/>
      <c r="Y738" s="1914"/>
      <c r="Z738" s="1913"/>
      <c r="AA738" s="1913"/>
      <c r="AB738" s="1794"/>
      <c r="AC738" s="1954"/>
      <c r="AD738" s="1954"/>
      <c r="AE738" s="1954"/>
      <c r="AF738" s="1954"/>
      <c r="AI738" s="1735" t="str">
        <f>"52:field212:" &amp; IF(I738="■",1,IF(L738="■",2,0))</f>
        <v>52:field212:0</v>
      </c>
    </row>
    <row r="739" spans="1:36" s="1735" customFormat="1" ht="18.75" hidden="1" customHeight="1">
      <c r="A739" s="1766"/>
      <c r="B739" s="1765"/>
      <c r="C739" s="1916"/>
      <c r="D739" s="1915"/>
      <c r="E739" s="1762"/>
      <c r="F739" s="1761"/>
      <c r="G739" s="1762"/>
      <c r="H739" s="1769" t="s">
        <v>457</v>
      </c>
      <c r="I739" s="1758" t="s">
        <v>194</v>
      </c>
      <c r="J739" s="1756" t="s">
        <v>750</v>
      </c>
      <c r="K739" s="1755"/>
      <c r="L739" s="1757" t="s">
        <v>194</v>
      </c>
      <c r="M739" s="1756" t="s">
        <v>764</v>
      </c>
      <c r="N739" s="1789"/>
      <c r="O739" s="1768"/>
      <c r="P739" s="1768"/>
      <c r="Q739" s="1768"/>
      <c r="R739" s="1768"/>
      <c r="S739" s="1768"/>
      <c r="T739" s="1768"/>
      <c r="U739" s="1768"/>
      <c r="V739" s="1768"/>
      <c r="W739" s="1768"/>
      <c r="X739" s="1767"/>
      <c r="Y739" s="1914"/>
      <c r="Z739" s="1913"/>
      <c r="AA739" s="1913"/>
      <c r="AB739" s="1794"/>
      <c r="AC739" s="1954"/>
      <c r="AD739" s="1954"/>
      <c r="AE739" s="1954"/>
      <c r="AF739" s="1954"/>
      <c r="AI739" s="1735" t="str">
        <f>"52:field209:" &amp; IF(I739="■",1,IF(L739="■",2,0))</f>
        <v>52:field209:0</v>
      </c>
    </row>
    <row r="740" spans="1:36" s="1735" customFormat="1" ht="18.75" hidden="1" customHeight="1">
      <c r="A740" s="1766"/>
      <c r="B740" s="1765"/>
      <c r="C740" s="1916"/>
      <c r="D740" s="1915"/>
      <c r="E740" s="1762"/>
      <c r="F740" s="1761"/>
      <c r="G740" s="1762"/>
      <c r="H740" s="1769" t="s">
        <v>1124</v>
      </c>
      <c r="I740" s="1773" t="s">
        <v>194</v>
      </c>
      <c r="J740" s="1754" t="s">
        <v>750</v>
      </c>
      <c r="K740" s="1754"/>
      <c r="L740" s="1772" t="s">
        <v>194</v>
      </c>
      <c r="M740" s="1756" t="s">
        <v>764</v>
      </c>
      <c r="N740" s="1754"/>
      <c r="O740" s="1754"/>
      <c r="P740" s="1754"/>
      <c r="Q740" s="1789"/>
      <c r="R740" s="1789"/>
      <c r="S740" s="1789"/>
      <c r="T740" s="1789"/>
      <c r="U740" s="1789"/>
      <c r="V740" s="1789"/>
      <c r="W740" s="1789"/>
      <c r="X740" s="1918"/>
      <c r="Y740" s="1914"/>
      <c r="Z740" s="1913"/>
      <c r="AA740" s="1913"/>
      <c r="AB740" s="1794"/>
      <c r="AC740" s="1954"/>
      <c r="AD740" s="1954"/>
      <c r="AE740" s="1954"/>
      <c r="AF740" s="1954"/>
      <c r="AI740" s="1735" t="str">
        <f>"52:field226:" &amp; IF(I740="■",1,IF(L740="■",2,0))</f>
        <v>52:field226:0</v>
      </c>
    </row>
    <row r="741" spans="1:36" s="1735" customFormat="1" ht="18.75" hidden="1" customHeight="1">
      <c r="A741" s="1766"/>
      <c r="B741" s="1765"/>
      <c r="C741" s="1916"/>
      <c r="D741" s="1915"/>
      <c r="E741" s="1762"/>
      <c r="F741" s="1761"/>
      <c r="G741" s="1762"/>
      <c r="H741" s="1769" t="s">
        <v>1125</v>
      </c>
      <c r="I741" s="1773" t="s">
        <v>194</v>
      </c>
      <c r="J741" s="1754" t="s">
        <v>750</v>
      </c>
      <c r="K741" s="1754"/>
      <c r="L741" s="1772" t="s">
        <v>194</v>
      </c>
      <c r="M741" s="1756" t="s">
        <v>764</v>
      </c>
      <c r="N741" s="1754"/>
      <c r="O741" s="1754"/>
      <c r="P741" s="1754"/>
      <c r="Q741" s="1789"/>
      <c r="R741" s="1789"/>
      <c r="S741" s="1789"/>
      <c r="T741" s="1789"/>
      <c r="U741" s="1789"/>
      <c r="V741" s="1789"/>
      <c r="W741" s="1789"/>
      <c r="X741" s="1918"/>
      <c r="Y741" s="1914"/>
      <c r="Z741" s="1913"/>
      <c r="AA741" s="1913"/>
      <c r="AB741" s="1794"/>
      <c r="AC741" s="1954"/>
      <c r="AD741" s="1954"/>
      <c r="AE741" s="1954"/>
      <c r="AF741" s="1954"/>
      <c r="AI741" s="1735" t="str">
        <f>"52:field227:" &amp; IF(I741="■",1,IF(L741="■",2,0))</f>
        <v>52:field227:0</v>
      </c>
    </row>
    <row r="742" spans="1:36" s="1735" customFormat="1" ht="18.75" hidden="1" customHeight="1">
      <c r="A742" s="1766"/>
      <c r="B742" s="1765"/>
      <c r="C742" s="1916"/>
      <c r="D742" s="1915"/>
      <c r="E742" s="1762"/>
      <c r="F742" s="1761"/>
      <c r="G742" s="1762"/>
      <c r="H742" s="1917" t="s">
        <v>794</v>
      </c>
      <c r="I742" s="1773" t="s">
        <v>194</v>
      </c>
      <c r="J742" s="1754" t="s">
        <v>750</v>
      </c>
      <c r="K742" s="1754"/>
      <c r="L742" s="1772" t="s">
        <v>194</v>
      </c>
      <c r="M742" s="1754" t="s">
        <v>784</v>
      </c>
      <c r="N742" s="1754"/>
      <c r="O742" s="1772" t="s">
        <v>194</v>
      </c>
      <c r="P742" s="1754" t="s">
        <v>785</v>
      </c>
      <c r="Q742" s="1768"/>
      <c r="R742" s="1768"/>
      <c r="S742" s="1768"/>
      <c r="T742" s="1768"/>
      <c r="U742" s="1829"/>
      <c r="V742" s="1829"/>
      <c r="W742" s="1829"/>
      <c r="X742" s="1828"/>
      <c r="Y742" s="1914"/>
      <c r="Z742" s="1913"/>
      <c r="AA742" s="1913"/>
      <c r="AB742" s="1794"/>
      <c r="AC742" s="1954"/>
      <c r="AD742" s="1954"/>
      <c r="AE742" s="1954"/>
      <c r="AF742" s="1954"/>
      <c r="AI742" s="1735" t="str">
        <f>"52:field225:" &amp; IF(I742="■",1,IF(L742="■",2,IF(O742="■",3,0)))</f>
        <v>52:field225:0</v>
      </c>
    </row>
    <row r="743" spans="1:36" s="1735" customFormat="1" ht="18.75" hidden="1" customHeight="1">
      <c r="A743" s="1766"/>
      <c r="B743" s="1765"/>
      <c r="C743" s="1916"/>
      <c r="D743" s="1915"/>
      <c r="E743" s="1762"/>
      <c r="F743" s="1761"/>
      <c r="G743" s="1762"/>
      <c r="H743" s="1769" t="s">
        <v>795</v>
      </c>
      <c r="I743" s="1773" t="s">
        <v>194</v>
      </c>
      <c r="J743" s="1754" t="s">
        <v>750</v>
      </c>
      <c r="K743" s="1754"/>
      <c r="L743" s="1772" t="s">
        <v>194</v>
      </c>
      <c r="M743" s="1754" t="s">
        <v>796</v>
      </c>
      <c r="N743" s="1754"/>
      <c r="O743" s="1772" t="s">
        <v>194</v>
      </c>
      <c r="P743" s="1754" t="s">
        <v>797</v>
      </c>
      <c r="Q743" s="1771"/>
      <c r="R743" s="1772" t="s">
        <v>194</v>
      </c>
      <c r="S743" s="1754" t="s">
        <v>798</v>
      </c>
      <c r="T743" s="1754"/>
      <c r="U743" s="1771"/>
      <c r="V743" s="1771"/>
      <c r="W743" s="1771"/>
      <c r="X743" s="1770"/>
      <c r="Y743" s="1914"/>
      <c r="Z743" s="1913"/>
      <c r="AA743" s="1913"/>
      <c r="AB743" s="1794"/>
      <c r="AC743" s="1954"/>
      <c r="AD743" s="1954"/>
      <c r="AE743" s="1954"/>
      <c r="AF743" s="1954"/>
      <c r="AI743" s="1735" t="str">
        <f>"52:serteikyo_kyoka_code:" &amp; IF(I743="■",1,IF(L743="■",6,IF(O743="■",5,IF(R743="■",7,0))))</f>
        <v>52:serteikyo_kyoka_code:0</v>
      </c>
    </row>
    <row r="744" spans="1:36" s="1735" customFormat="1" ht="18.75" hidden="1" customHeight="1">
      <c r="A744" s="1752"/>
      <c r="B744" s="1751"/>
      <c r="C744" s="1750"/>
      <c r="D744" s="1749"/>
      <c r="E744" s="1748"/>
      <c r="F744" s="1747"/>
      <c r="G744" s="1808"/>
      <c r="H744" s="1909" t="s">
        <v>1553</v>
      </c>
      <c r="I744" s="1744" t="s">
        <v>194</v>
      </c>
      <c r="J744" s="1905" t="s">
        <v>750</v>
      </c>
      <c r="K744" s="1905"/>
      <c r="L744" s="1743" t="s">
        <v>194</v>
      </c>
      <c r="M744" s="1905" t="s">
        <v>1552</v>
      </c>
      <c r="N744" s="1908"/>
      <c r="O744" s="1743" t="s">
        <v>194</v>
      </c>
      <c r="P744" s="1907" t="s">
        <v>1551</v>
      </c>
      <c r="Q744" s="1906"/>
      <c r="R744" s="1743" t="s">
        <v>194</v>
      </c>
      <c r="S744" s="1905" t="s">
        <v>1550</v>
      </c>
      <c r="T744" s="1906"/>
      <c r="U744" s="1743" t="s">
        <v>194</v>
      </c>
      <c r="V744" s="1905" t="s">
        <v>1549</v>
      </c>
      <c r="W744" s="1904"/>
      <c r="X744" s="1903"/>
      <c r="Y744" s="1902"/>
      <c r="Z744" s="1902"/>
      <c r="AA744" s="1902"/>
      <c r="AB744" s="1901"/>
      <c r="AC744" s="1953"/>
      <c r="AD744" s="1953"/>
      <c r="AE744" s="1953"/>
      <c r="AF744" s="1953"/>
      <c r="AI744" s="1735" t="str">
        <f>"52:shoguukaizen_code:"&amp;IF(I744="■",1,IF(L744="■",7,IF(O744="■",8,IF(R744="■",9,IF(U744="■","A",0)))))</f>
        <v>52:shoguukaizen_code:0</v>
      </c>
    </row>
    <row r="745" spans="1:36" s="1735" customFormat="1" ht="18.75" hidden="1" customHeight="1">
      <c r="A745" s="1807"/>
      <c r="B745" s="1806"/>
      <c r="C745" s="1934"/>
      <c r="D745" s="1933"/>
      <c r="E745" s="1804"/>
      <c r="F745" s="1803"/>
      <c r="G745" s="1804"/>
      <c r="H745" s="1801" t="s">
        <v>746</v>
      </c>
      <c r="I745" s="1800" t="s">
        <v>194</v>
      </c>
      <c r="J745" s="1799" t="s">
        <v>747</v>
      </c>
      <c r="K745" s="1846"/>
      <c r="L745" s="1845"/>
      <c r="M745" s="1798" t="s">
        <v>194</v>
      </c>
      <c r="N745" s="1799" t="s">
        <v>748</v>
      </c>
      <c r="O745" s="1796"/>
      <c r="P745" s="1796"/>
      <c r="Q745" s="1796"/>
      <c r="R745" s="1796"/>
      <c r="S745" s="1796"/>
      <c r="T745" s="1796"/>
      <c r="U745" s="1796"/>
      <c r="V745" s="1796"/>
      <c r="W745" s="1796"/>
      <c r="X745" s="1795"/>
      <c r="Y745" s="1873" t="s">
        <v>194</v>
      </c>
      <c r="Z745" s="1872" t="s">
        <v>749</v>
      </c>
      <c r="AA745" s="1872"/>
      <c r="AB745" s="1929"/>
      <c r="AC745" s="1959"/>
      <c r="AD745" s="1959"/>
      <c r="AE745" s="1959"/>
      <c r="AF745" s="1959"/>
      <c r="AG745" s="1735" t="str">
        <f>"ser_code = '" &amp; IF(A761="■",52,"") &amp; "'"</f>
        <v>ser_code = ''</v>
      </c>
      <c r="AI745" s="1735" t="str">
        <f>"52:yakan_kinmu_code:" &amp; IF(I745="■",1,IF(M745="■",6,0))</f>
        <v>52:yakan_kinmu_code:0</v>
      </c>
      <c r="AJ745" s="1735" t="str">
        <f>"52:field203:" &amp; IF(Y745="■",1,IF(Y746="■",2,0))</f>
        <v>52:field203:0</v>
      </c>
    </row>
    <row r="746" spans="1:36" s="1735" customFormat="1" ht="18.75" hidden="1" customHeight="1">
      <c r="A746" s="1766"/>
      <c r="B746" s="1765"/>
      <c r="C746" s="1916"/>
      <c r="D746" s="1915"/>
      <c r="E746" s="1762"/>
      <c r="F746" s="1761"/>
      <c r="G746" s="1762"/>
      <c r="H746" s="1925" t="s">
        <v>98</v>
      </c>
      <c r="I746" s="1924" t="s">
        <v>194</v>
      </c>
      <c r="J746" s="1923" t="s">
        <v>750</v>
      </c>
      <c r="K746" s="1923"/>
      <c r="L746" s="1785"/>
      <c r="M746" s="1922" t="s">
        <v>194</v>
      </c>
      <c r="N746" s="1923" t="s">
        <v>1568</v>
      </c>
      <c r="O746" s="1923"/>
      <c r="P746" s="1785"/>
      <c r="Q746" s="1922" t="s">
        <v>194</v>
      </c>
      <c r="R746" s="1785" t="s">
        <v>1615</v>
      </c>
      <c r="S746" s="1785"/>
      <c r="T746" s="1785"/>
      <c r="U746" s="1922" t="s">
        <v>194</v>
      </c>
      <c r="V746" s="1785" t="s">
        <v>1614</v>
      </c>
      <c r="W746" s="1785"/>
      <c r="X746" s="1784"/>
      <c r="Y746" s="1776" t="s">
        <v>194</v>
      </c>
      <c r="Z746" s="1738" t="s">
        <v>754</v>
      </c>
      <c r="AA746" s="1913"/>
      <c r="AB746" s="1794"/>
      <c r="AC746" s="1954"/>
      <c r="AD746" s="1954"/>
      <c r="AE746" s="1954"/>
      <c r="AF746" s="1954"/>
      <c r="AG746" s="1735" t="str">
        <f>"52:sisetukbn_code:" &amp; IF(D760="■",6,IF(D761="■",8,0))</f>
        <v>52:sisetukbn_code:0</v>
      </c>
      <c r="AI746" s="1735" t="str">
        <f>"52:"&amp;IF(AND(I746="□",M746="□",Q746="□",U746="□",I747="□",M747="□",Q747="□",I748="□"),"ketu_doctor_code:0",IF(I746="■","ketu_doctor_code:1:ketu_kangos_code:1:ketu_kshoku_code:1:ketu_rryoho_code:1:ketu_sryoho_code:1:ketu_ksiensou_code:1:ketu_gengo_code:1",IF(M746="■","ketu_doctor_code:2","ketu_doctor_code:1")
&amp;IF(Q746="■",":ketu_kangos_code:2",":ketu_kangos_code:1")
&amp;IF(U746="■",":ketu_kshoku_code:2",":ketu_kshoku_code:1")
&amp;IF(I747="■",":ketu_rryoho_code:2",":ketu_rryoho_code:1")
&amp;IF(M747="■",":ketu_sryoho_code:2",":ketu_sryoho_code:1")
&amp;IF(Q747="■",":ketu_ksiensou_code:2",":ketu_ksiensou_code:1")
&amp;IF(I748="■",":ketu_gengo_code:2",":ketu_gengo_code:1")))</f>
        <v>52:ketu_doctor_code:0</v>
      </c>
    </row>
    <row r="747" spans="1:36" s="1735" customFormat="1" ht="18.75" hidden="1" customHeight="1">
      <c r="A747" s="1766"/>
      <c r="B747" s="1765"/>
      <c r="C747" s="1916"/>
      <c r="D747" s="1915"/>
      <c r="E747" s="1762"/>
      <c r="F747" s="1761"/>
      <c r="G747" s="1762"/>
      <c r="H747" s="1958"/>
      <c r="I747" s="1776" t="s">
        <v>194</v>
      </c>
      <c r="J747" s="1738" t="s">
        <v>1613</v>
      </c>
      <c r="K747" s="1738"/>
      <c r="L747" s="1734"/>
      <c r="M747" s="1878" t="s">
        <v>194</v>
      </c>
      <c r="N747" s="1738" t="s">
        <v>1612</v>
      </c>
      <c r="O747" s="1738"/>
      <c r="P747" s="1734"/>
      <c r="Q747" s="1878" t="s">
        <v>194</v>
      </c>
      <c r="R747" s="1734" t="s">
        <v>1611</v>
      </c>
      <c r="S747" s="1734"/>
      <c r="T747" s="1734"/>
      <c r="U747" s="1734"/>
      <c r="V747" s="1734"/>
      <c r="W747" s="1734"/>
      <c r="X747" s="1957"/>
      <c r="Y747" s="1914"/>
      <c r="Z747" s="1913"/>
      <c r="AA747" s="1913"/>
      <c r="AB747" s="1794"/>
      <c r="AC747" s="1954"/>
      <c r="AD747" s="1954"/>
      <c r="AE747" s="1954"/>
      <c r="AF747" s="1954"/>
    </row>
    <row r="748" spans="1:36" s="1735" customFormat="1" ht="18.75" hidden="1" customHeight="1">
      <c r="A748" s="1766"/>
      <c r="B748" s="1765"/>
      <c r="C748" s="1916"/>
      <c r="D748" s="1915"/>
      <c r="E748" s="1762"/>
      <c r="F748" s="1761"/>
      <c r="G748" s="1762"/>
      <c r="H748" s="1921"/>
      <c r="I748" s="1758" t="s">
        <v>194</v>
      </c>
      <c r="J748" s="1756" t="s">
        <v>1610</v>
      </c>
      <c r="K748" s="1756"/>
      <c r="L748" s="1780"/>
      <c r="M748" s="1756"/>
      <c r="N748" s="1756"/>
      <c r="O748" s="1756"/>
      <c r="P748" s="1780"/>
      <c r="Q748" s="1756"/>
      <c r="R748" s="1780"/>
      <c r="S748" s="1780"/>
      <c r="T748" s="1780"/>
      <c r="U748" s="1780"/>
      <c r="V748" s="1780"/>
      <c r="W748" s="1780"/>
      <c r="X748" s="1779"/>
      <c r="Y748" s="1914"/>
      <c r="Z748" s="1913"/>
      <c r="AA748" s="1913"/>
      <c r="AB748" s="1794"/>
      <c r="AC748" s="1954"/>
      <c r="AD748" s="1954"/>
      <c r="AE748" s="1954"/>
      <c r="AF748" s="1954"/>
    </row>
    <row r="749" spans="1:36" s="1735" customFormat="1" ht="18.75" hidden="1" customHeight="1">
      <c r="A749" s="1766"/>
      <c r="B749" s="1765"/>
      <c r="C749" s="1916"/>
      <c r="D749" s="1915"/>
      <c r="E749" s="1762"/>
      <c r="F749" s="1761"/>
      <c r="G749" s="1762"/>
      <c r="H749" s="1769" t="s">
        <v>99</v>
      </c>
      <c r="I749" s="1773" t="s">
        <v>194</v>
      </c>
      <c r="J749" s="1754" t="s">
        <v>755</v>
      </c>
      <c r="K749" s="1789"/>
      <c r="L749" s="1791"/>
      <c r="M749" s="1772" t="s">
        <v>194</v>
      </c>
      <c r="N749" s="1754" t="s">
        <v>756</v>
      </c>
      <c r="O749" s="1789"/>
      <c r="P749" s="1789"/>
      <c r="Q749" s="1768"/>
      <c r="R749" s="1768"/>
      <c r="S749" s="1768"/>
      <c r="T749" s="1768"/>
      <c r="U749" s="1768"/>
      <c r="V749" s="1768"/>
      <c r="W749" s="1768"/>
      <c r="X749" s="1767"/>
      <c r="Y749" s="1914"/>
      <c r="Z749" s="1913"/>
      <c r="AA749" s="1913"/>
      <c r="AB749" s="1794"/>
      <c r="AC749" s="1954"/>
      <c r="AD749" s="1954"/>
      <c r="AE749" s="1954"/>
      <c r="AF749" s="1954"/>
      <c r="AI749" s="1735" t="str">
        <f>"52:unitcare_code:" &amp; IF(I749="■",1,IF(M749="■",2,0))</f>
        <v>52:unitcare_code:0</v>
      </c>
    </row>
    <row r="750" spans="1:36" s="1735" customFormat="1" ht="18.75" hidden="1" customHeight="1">
      <c r="A750" s="1766"/>
      <c r="B750" s="1765"/>
      <c r="C750" s="1916"/>
      <c r="D750" s="1915"/>
      <c r="E750" s="1762"/>
      <c r="F750" s="1761"/>
      <c r="G750" s="1762"/>
      <c r="H750" s="1769" t="s">
        <v>757</v>
      </c>
      <c r="I750" s="1773" t="s">
        <v>194</v>
      </c>
      <c r="J750" s="1754" t="s">
        <v>758</v>
      </c>
      <c r="K750" s="1789"/>
      <c r="L750" s="1791"/>
      <c r="M750" s="1772" t="s">
        <v>194</v>
      </c>
      <c r="N750" s="1754" t="s">
        <v>759</v>
      </c>
      <c r="O750" s="1789"/>
      <c r="P750" s="1789"/>
      <c r="Q750" s="1768"/>
      <c r="R750" s="1768"/>
      <c r="S750" s="1768"/>
      <c r="T750" s="1768"/>
      <c r="U750" s="1768"/>
      <c r="V750" s="1768"/>
      <c r="W750" s="1768"/>
      <c r="X750" s="1767"/>
      <c r="Y750" s="1914"/>
      <c r="Z750" s="1913"/>
      <c r="AA750" s="1913"/>
      <c r="AB750" s="1794"/>
      <c r="AC750" s="1954"/>
      <c r="AD750" s="1954"/>
      <c r="AE750" s="1954"/>
      <c r="AF750" s="1954"/>
      <c r="AI750" s="1735" t="str">
        <f>"52:sintaikousoku_code:" &amp; IF(I750="■",1,IF(M750="■",2,0))</f>
        <v>52:sintaikousoku_code:0</v>
      </c>
    </row>
    <row r="751" spans="1:36" s="1735" customFormat="1" ht="18.75" hidden="1" customHeight="1">
      <c r="A751" s="1766"/>
      <c r="B751" s="1765"/>
      <c r="C751" s="1916"/>
      <c r="D751" s="1915"/>
      <c r="E751" s="1762"/>
      <c r="F751" s="1761"/>
      <c r="G751" s="1762"/>
      <c r="H751" s="1769" t="s">
        <v>448</v>
      </c>
      <c r="I751" s="1773" t="s">
        <v>194</v>
      </c>
      <c r="J751" s="1754" t="s">
        <v>758</v>
      </c>
      <c r="K751" s="1789"/>
      <c r="L751" s="1791"/>
      <c r="M751" s="1772" t="s">
        <v>194</v>
      </c>
      <c r="N751" s="1754" t="s">
        <v>759</v>
      </c>
      <c r="O751" s="1789"/>
      <c r="P751" s="1789"/>
      <c r="Q751" s="1768"/>
      <c r="R751" s="1768"/>
      <c r="S751" s="1768"/>
      <c r="T751" s="1768"/>
      <c r="U751" s="1768"/>
      <c r="V751" s="1768"/>
      <c r="W751" s="1768"/>
      <c r="X751" s="1767"/>
      <c r="Y751" s="1914"/>
      <c r="Z751" s="1913"/>
      <c r="AA751" s="1913"/>
      <c r="AB751" s="1794"/>
      <c r="AC751" s="1954"/>
      <c r="AD751" s="1954"/>
      <c r="AE751" s="1954"/>
      <c r="AF751" s="1954"/>
      <c r="AI751" s="1735" t="str">
        <f>"52:field208:" &amp; IF(I751="■",1,IF(M751="■",2,0))</f>
        <v>52:field208:0</v>
      </c>
    </row>
    <row r="752" spans="1:36" s="1735" customFormat="1" ht="19.5" hidden="1" customHeight="1">
      <c r="A752" s="1766"/>
      <c r="B752" s="1765"/>
      <c r="C752" s="1764"/>
      <c r="D752" s="1763"/>
      <c r="E752" s="1762"/>
      <c r="F752" s="1761"/>
      <c r="G752" s="1793"/>
      <c r="H752" s="1792" t="s">
        <v>760</v>
      </c>
      <c r="I752" s="1773" t="s">
        <v>194</v>
      </c>
      <c r="J752" s="1754" t="s">
        <v>758</v>
      </c>
      <c r="K752" s="1789"/>
      <c r="L752" s="1791"/>
      <c r="M752" s="1772" t="s">
        <v>194</v>
      </c>
      <c r="N752" s="1754" t="s">
        <v>761</v>
      </c>
      <c r="O752" s="1920"/>
      <c r="P752" s="1754"/>
      <c r="Q752" s="1768"/>
      <c r="R752" s="1768"/>
      <c r="S752" s="1768"/>
      <c r="T752" s="1768"/>
      <c r="U752" s="1768"/>
      <c r="V752" s="1768"/>
      <c r="W752" s="1768"/>
      <c r="X752" s="1767"/>
      <c r="Y752" s="1913"/>
      <c r="Z752" s="1913"/>
      <c r="AA752" s="1913"/>
      <c r="AB752" s="1794"/>
      <c r="AC752" s="1954"/>
      <c r="AD752" s="1954"/>
      <c r="AE752" s="1954"/>
      <c r="AF752" s="1954"/>
      <c r="AI752" s="1735" t="str">
        <f>"52:field223:" &amp; IF(I752="■",1,IF(M752="■",2,0))</f>
        <v>52:field223:0</v>
      </c>
    </row>
    <row r="753" spans="1:35" s="1735" customFormat="1" ht="19.5" hidden="1" customHeight="1">
      <c r="A753" s="1766"/>
      <c r="B753" s="1765"/>
      <c r="C753" s="1764"/>
      <c r="D753" s="1763"/>
      <c r="E753" s="1762"/>
      <c r="F753" s="1761"/>
      <c r="G753" s="1793"/>
      <c r="H753" s="1792" t="s">
        <v>762</v>
      </c>
      <c r="I753" s="1773" t="s">
        <v>194</v>
      </c>
      <c r="J753" s="1754" t="s">
        <v>758</v>
      </c>
      <c r="K753" s="1789"/>
      <c r="L753" s="1791"/>
      <c r="M753" s="1772" t="s">
        <v>194</v>
      </c>
      <c r="N753" s="1754" t="s">
        <v>761</v>
      </c>
      <c r="O753" s="1920"/>
      <c r="P753" s="1754"/>
      <c r="Q753" s="1768"/>
      <c r="R753" s="1768"/>
      <c r="S753" s="1768"/>
      <c r="T753" s="1768"/>
      <c r="U753" s="1768"/>
      <c r="V753" s="1768"/>
      <c r="W753" s="1768"/>
      <c r="X753" s="1767"/>
      <c r="Y753" s="1913"/>
      <c r="Z753" s="1913"/>
      <c r="AA753" s="1913"/>
      <c r="AB753" s="1794"/>
      <c r="AC753" s="1954"/>
      <c r="AD753" s="1954"/>
      <c r="AE753" s="1954"/>
      <c r="AF753" s="1954"/>
      <c r="AI753" s="1735" t="str">
        <f>"52:field232:" &amp; IF(I753="■",1,IF(M753="■",2,0))</f>
        <v>52:field232:0</v>
      </c>
    </row>
    <row r="754" spans="1:35" s="1735" customFormat="1" ht="37.5" hidden="1" customHeight="1">
      <c r="A754" s="1766"/>
      <c r="B754" s="1765"/>
      <c r="C754" s="1916"/>
      <c r="D754" s="1915"/>
      <c r="E754" s="1762"/>
      <c r="F754" s="1761"/>
      <c r="G754" s="1762"/>
      <c r="H754" s="1759" t="s">
        <v>763</v>
      </c>
      <c r="I754" s="1758" t="s">
        <v>194</v>
      </c>
      <c r="J754" s="1756" t="s">
        <v>750</v>
      </c>
      <c r="K754" s="1755"/>
      <c r="L754" s="1757" t="s">
        <v>194</v>
      </c>
      <c r="M754" s="1756" t="s">
        <v>764</v>
      </c>
      <c r="N754" s="1789"/>
      <c r="O754" s="1771"/>
      <c r="P754" s="1771"/>
      <c r="Q754" s="1771"/>
      <c r="R754" s="1771"/>
      <c r="S754" s="1771"/>
      <c r="T754" s="1771"/>
      <c r="U754" s="1771"/>
      <c r="V754" s="1771"/>
      <c r="W754" s="1771"/>
      <c r="X754" s="1770"/>
      <c r="Y754" s="1914"/>
      <c r="Z754" s="1913"/>
      <c r="AA754" s="1913"/>
      <c r="AB754" s="1794"/>
      <c r="AC754" s="1954"/>
      <c r="AD754" s="1954"/>
      <c r="AE754" s="1954"/>
      <c r="AF754" s="1954"/>
      <c r="AI754" s="1735" t="str">
        <f>"52:field206:" &amp; IF(I754="■",1,IF(L754="■",2,0))</f>
        <v>52:field206:0</v>
      </c>
    </row>
    <row r="755" spans="1:35" s="1735" customFormat="1" ht="18.75" hidden="1" customHeight="1">
      <c r="A755" s="1766"/>
      <c r="B755" s="1765"/>
      <c r="C755" s="1916"/>
      <c r="D755" s="1915"/>
      <c r="E755" s="1762"/>
      <c r="F755" s="1761"/>
      <c r="G755" s="1762"/>
      <c r="H755" s="1769" t="s">
        <v>768</v>
      </c>
      <c r="I755" s="1758" t="s">
        <v>194</v>
      </c>
      <c r="J755" s="1756" t="s">
        <v>750</v>
      </c>
      <c r="K755" s="1755"/>
      <c r="L755" s="1757" t="s">
        <v>194</v>
      </c>
      <c r="M755" s="1756" t="s">
        <v>764</v>
      </c>
      <c r="N755" s="1789"/>
      <c r="O755" s="1768"/>
      <c r="P755" s="1768"/>
      <c r="Q755" s="1768"/>
      <c r="R755" s="1768"/>
      <c r="S755" s="1768"/>
      <c r="T755" s="1768"/>
      <c r="U755" s="1768"/>
      <c r="V755" s="1768"/>
      <c r="W755" s="1768"/>
      <c r="X755" s="1767"/>
      <c r="Y755" s="1914"/>
      <c r="Z755" s="1913"/>
      <c r="AA755" s="1913"/>
      <c r="AB755" s="1794"/>
      <c r="AC755" s="1954"/>
      <c r="AD755" s="1954"/>
      <c r="AE755" s="1954"/>
      <c r="AF755" s="1954"/>
      <c r="AI755" s="1735" t="str">
        <f>"52:yakinhaiti_code:" &amp; IF(I755="■",1,IF(L755="■",2,0))</f>
        <v>52:yakinhaiti_code:0</v>
      </c>
    </row>
    <row r="756" spans="1:35" s="1735" customFormat="1" ht="18.75" hidden="1" customHeight="1">
      <c r="A756" s="1766"/>
      <c r="B756" s="1765"/>
      <c r="C756" s="1916"/>
      <c r="D756" s="1915"/>
      <c r="E756" s="1762"/>
      <c r="F756" s="1761"/>
      <c r="G756" s="1762"/>
      <c r="H756" s="1769" t="s">
        <v>1627</v>
      </c>
      <c r="I756" s="1758" t="s">
        <v>194</v>
      </c>
      <c r="J756" s="1756" t="s">
        <v>750</v>
      </c>
      <c r="K756" s="1755"/>
      <c r="L756" s="1757" t="s">
        <v>194</v>
      </c>
      <c r="M756" s="1756" t="s">
        <v>764</v>
      </c>
      <c r="N756" s="1789"/>
      <c r="O756" s="1754"/>
      <c r="P756" s="1754"/>
      <c r="Q756" s="1754"/>
      <c r="R756" s="1754"/>
      <c r="S756" s="1754"/>
      <c r="T756" s="1754"/>
      <c r="U756" s="1754"/>
      <c r="V756" s="1754"/>
      <c r="W756" s="1754"/>
      <c r="X756" s="1753"/>
      <c r="Y756" s="1914"/>
      <c r="Z756" s="1913"/>
      <c r="AA756" s="1913"/>
      <c r="AB756" s="1794"/>
      <c r="AC756" s="1954"/>
      <c r="AD756" s="1954"/>
      <c r="AE756" s="1954"/>
      <c r="AF756" s="1954"/>
      <c r="AI756" s="1735" t="str">
        <f>"52:ninti_riha_code:" &amp; IF(I756="■",1,IF(L756="■",2,0))</f>
        <v>52:ninti_riha_code:0</v>
      </c>
    </row>
    <row r="757" spans="1:35" s="1735" customFormat="1" ht="18.75" hidden="1" customHeight="1">
      <c r="A757" s="1766"/>
      <c r="B757" s="1765"/>
      <c r="C757" s="1916"/>
      <c r="D757" s="1915"/>
      <c r="E757" s="1762"/>
      <c r="F757" s="1761"/>
      <c r="G757" s="1762"/>
      <c r="H757" s="1769" t="s">
        <v>1607</v>
      </c>
      <c r="I757" s="1758" t="s">
        <v>194</v>
      </c>
      <c r="J757" s="1756" t="s">
        <v>750</v>
      </c>
      <c r="K757" s="1755"/>
      <c r="L757" s="1757" t="s">
        <v>194</v>
      </c>
      <c r="M757" s="1756" t="s">
        <v>764</v>
      </c>
      <c r="N757" s="1789"/>
      <c r="O757" s="1768"/>
      <c r="P757" s="1768"/>
      <c r="Q757" s="1768"/>
      <c r="R757" s="1768"/>
      <c r="S757" s="1768"/>
      <c r="T757" s="1768"/>
      <c r="U757" s="1768"/>
      <c r="V757" s="1768"/>
      <c r="W757" s="1768"/>
      <c r="X757" s="1767"/>
      <c r="Y757" s="1914"/>
      <c r="Z757" s="1913"/>
      <c r="AA757" s="1913"/>
      <c r="AB757" s="1794"/>
      <c r="AC757" s="1954"/>
      <c r="AD757" s="1954"/>
      <c r="AE757" s="1954"/>
      <c r="AF757" s="1954"/>
      <c r="AI757" s="1735" t="str">
        <f>"52:ninticare_code:" &amp; IF(I757="■",1,IF(L757="■",2,0))</f>
        <v>52:ninticare_code:0</v>
      </c>
    </row>
    <row r="758" spans="1:35" s="1735" customFormat="1" ht="18.75" hidden="1" customHeight="1">
      <c r="A758" s="1766"/>
      <c r="B758" s="1765"/>
      <c r="C758" s="1916"/>
      <c r="D758" s="1915"/>
      <c r="E758" s="1762"/>
      <c r="F758" s="1761"/>
      <c r="G758" s="1762"/>
      <c r="H758" s="1955" t="s">
        <v>782</v>
      </c>
      <c r="I758" s="1758" t="s">
        <v>194</v>
      </c>
      <c r="J758" s="1756" t="s">
        <v>750</v>
      </c>
      <c r="K758" s="1755"/>
      <c r="L758" s="1757" t="s">
        <v>194</v>
      </c>
      <c r="M758" s="1756" t="s">
        <v>764</v>
      </c>
      <c r="N758" s="1789"/>
      <c r="O758" s="1768"/>
      <c r="P758" s="1768"/>
      <c r="Q758" s="1768"/>
      <c r="R758" s="1768"/>
      <c r="S758" s="1768"/>
      <c r="T758" s="1768"/>
      <c r="U758" s="1768"/>
      <c r="V758" s="1768"/>
      <c r="W758" s="1768"/>
      <c r="X758" s="1767"/>
      <c r="Y758" s="1914"/>
      <c r="Z758" s="1913"/>
      <c r="AA758" s="1913"/>
      <c r="AB758" s="1794"/>
      <c r="AC758" s="1954"/>
      <c r="AD758" s="1954"/>
      <c r="AE758" s="1954"/>
      <c r="AF758" s="1954"/>
      <c r="AI758" s="1735" t="str">
        <f>"52:jyakuninti_uke_code:" &amp; IF(I758="■",1,IF(L758="■",2,0))</f>
        <v>52:jyakuninti_uke_code:0</v>
      </c>
    </row>
    <row r="759" spans="1:35" s="1735" customFormat="1" ht="18.75" hidden="1" customHeight="1">
      <c r="A759" s="1766"/>
      <c r="B759" s="1765"/>
      <c r="C759" s="1916"/>
      <c r="D759" s="1915"/>
      <c r="E759" s="1762"/>
      <c r="F759" s="1761"/>
      <c r="G759" s="1762"/>
      <c r="H759" s="1769" t="s">
        <v>1606</v>
      </c>
      <c r="I759" s="1758" t="s">
        <v>194</v>
      </c>
      <c r="J759" s="1756" t="s">
        <v>750</v>
      </c>
      <c r="K759" s="1755"/>
      <c r="L759" s="1757" t="s">
        <v>194</v>
      </c>
      <c r="M759" s="1756" t="s">
        <v>764</v>
      </c>
      <c r="N759" s="1789"/>
      <c r="O759" s="1768"/>
      <c r="P759" s="1768"/>
      <c r="Q759" s="1768"/>
      <c r="R759" s="1768"/>
      <c r="S759" s="1768"/>
      <c r="T759" s="1768"/>
      <c r="U759" s="1768"/>
      <c r="V759" s="1768"/>
      <c r="W759" s="1768"/>
      <c r="X759" s="1767"/>
      <c r="Y759" s="1914"/>
      <c r="Z759" s="1913"/>
      <c r="AA759" s="1913"/>
      <c r="AB759" s="1794"/>
      <c r="AC759" s="1954"/>
      <c r="AD759" s="1954"/>
      <c r="AE759" s="1954"/>
      <c r="AF759" s="1954"/>
      <c r="AI759" s="1735" t="str">
        <f>"52:terminal_code:" &amp; IF(I759="■",1,IF(L759="■",2,0))</f>
        <v>52:terminal_code:0</v>
      </c>
    </row>
    <row r="760" spans="1:35" s="1735" customFormat="1" ht="18.75" hidden="1" customHeight="1">
      <c r="A760" s="1766"/>
      <c r="B760" s="1765"/>
      <c r="C760" s="1916"/>
      <c r="D760" s="1776" t="s">
        <v>194</v>
      </c>
      <c r="E760" s="1762" t="s">
        <v>1626</v>
      </c>
      <c r="F760" s="1761"/>
      <c r="G760" s="1762"/>
      <c r="H760" s="1769" t="s">
        <v>1625</v>
      </c>
      <c r="I760" s="1773" t="s">
        <v>194</v>
      </c>
      <c r="J760" s="1754" t="s">
        <v>1589</v>
      </c>
      <c r="K760" s="1754"/>
      <c r="L760" s="1768"/>
      <c r="M760" s="1768"/>
      <c r="N760" s="1768"/>
      <c r="O760" s="1768"/>
      <c r="P760" s="1772" t="s">
        <v>194</v>
      </c>
      <c r="Q760" s="1754" t="s">
        <v>1588</v>
      </c>
      <c r="R760" s="1768"/>
      <c r="S760" s="1768"/>
      <c r="T760" s="1768"/>
      <c r="U760" s="1768"/>
      <c r="V760" s="1768"/>
      <c r="W760" s="1768"/>
      <c r="X760" s="1767"/>
      <c r="Y760" s="1914"/>
      <c r="Z760" s="1913"/>
      <c r="AA760" s="1913"/>
      <c r="AB760" s="1794"/>
      <c r="AC760" s="1954"/>
      <c r="AD760" s="1954"/>
      <c r="AE760" s="1954"/>
      <c r="AF760" s="1954"/>
      <c r="AI760" s="1735" t="str">
        <f>"52:" &amp; IF(AND(I760="□",P760="□"),"tokusin_jyusho_code:0:tokusin_yakuzai_code:0",IF(I760="■","tokusin_jyusho_code:2","tokusin_jyusho_code:1")
&amp;IF(P760="■",":tokusin_yakuzai_code:2",":tokusin_yakuzai_code:1"))</f>
        <v>52:tokusin_jyusho_code:0:tokusin_yakuzai_code:0</v>
      </c>
    </row>
    <row r="761" spans="1:35" s="1735" customFormat="1" ht="18.75" hidden="1" customHeight="1">
      <c r="A761" s="1776" t="s">
        <v>194</v>
      </c>
      <c r="B761" s="1765">
        <v>52</v>
      </c>
      <c r="C761" s="1916" t="s">
        <v>1609</v>
      </c>
      <c r="D761" s="1776" t="s">
        <v>194</v>
      </c>
      <c r="E761" s="1762" t="s">
        <v>1624</v>
      </c>
      <c r="F761" s="1761"/>
      <c r="G761" s="1762"/>
      <c r="H761" s="1769" t="s">
        <v>1623</v>
      </c>
      <c r="I761" s="1758" t="s">
        <v>194</v>
      </c>
      <c r="J761" s="1756" t="s">
        <v>750</v>
      </c>
      <c r="K761" s="1755"/>
      <c r="L761" s="1757" t="s">
        <v>194</v>
      </c>
      <c r="M761" s="1756" t="s">
        <v>764</v>
      </c>
      <c r="N761" s="1789"/>
      <c r="O761" s="1771"/>
      <c r="P761" s="1771"/>
      <c r="Q761" s="1771"/>
      <c r="R761" s="1771"/>
      <c r="S761" s="1771"/>
      <c r="T761" s="1771"/>
      <c r="U761" s="1771"/>
      <c r="V761" s="1771"/>
      <c r="W761" s="1771"/>
      <c r="X761" s="1770"/>
      <c r="Y761" s="1914"/>
      <c r="Z761" s="1913"/>
      <c r="AA761" s="1913"/>
      <c r="AB761" s="1794"/>
      <c r="AC761" s="1954"/>
      <c r="AD761" s="1954"/>
      <c r="AE761" s="1954"/>
      <c r="AF761" s="1954"/>
      <c r="AI761" s="1735" t="str">
        <f>"52:field198:" &amp; IF(I761="■",1,IF(L761="■",2,0))</f>
        <v>52:field198:0</v>
      </c>
    </row>
    <row r="762" spans="1:35" s="1735" customFormat="1" ht="18.75" hidden="1" customHeight="1">
      <c r="A762" s="1766"/>
      <c r="B762" s="1765"/>
      <c r="C762" s="1916"/>
      <c r="D762" s="1766"/>
      <c r="E762" s="1762"/>
      <c r="F762" s="1761"/>
      <c r="G762" s="1762"/>
      <c r="H762" s="1769" t="s">
        <v>1622</v>
      </c>
      <c r="I762" s="1758" t="s">
        <v>194</v>
      </c>
      <c r="J762" s="1756" t="s">
        <v>750</v>
      </c>
      <c r="K762" s="1755"/>
      <c r="L762" s="1757" t="s">
        <v>194</v>
      </c>
      <c r="M762" s="1756" t="s">
        <v>764</v>
      </c>
      <c r="N762" s="1789"/>
      <c r="O762" s="1771"/>
      <c r="P762" s="1771"/>
      <c r="Q762" s="1771"/>
      <c r="R762" s="1771"/>
      <c r="S762" s="1771"/>
      <c r="T762" s="1771"/>
      <c r="U762" s="1771"/>
      <c r="V762" s="1771"/>
      <c r="W762" s="1771"/>
      <c r="X762" s="1770"/>
      <c r="Y762" s="1914"/>
      <c r="Z762" s="1913"/>
      <c r="AA762" s="1913"/>
      <c r="AB762" s="1794"/>
      <c r="AC762" s="1954"/>
      <c r="AD762" s="1954"/>
      <c r="AE762" s="1954"/>
      <c r="AF762" s="1954"/>
      <c r="AI762" s="1735" t="str">
        <f>"52:field199:" &amp; IF(I762="■",1,IF(L762="■",2,0))</f>
        <v>52:field199:0</v>
      </c>
    </row>
    <row r="763" spans="1:35" s="1735" customFormat="1" ht="18.75" hidden="1" customHeight="1">
      <c r="A763" s="1766"/>
      <c r="B763" s="1765"/>
      <c r="C763" s="1916"/>
      <c r="D763" s="1766"/>
      <c r="E763" s="1762"/>
      <c r="F763" s="1761"/>
      <c r="G763" s="1762"/>
      <c r="H763" s="1769" t="s">
        <v>786</v>
      </c>
      <c r="I763" s="1758" t="s">
        <v>194</v>
      </c>
      <c r="J763" s="1756" t="s">
        <v>750</v>
      </c>
      <c r="K763" s="1755"/>
      <c r="L763" s="1757" t="s">
        <v>194</v>
      </c>
      <c r="M763" s="1756" t="s">
        <v>764</v>
      </c>
      <c r="N763" s="1789"/>
      <c r="O763" s="1768"/>
      <c r="P763" s="1768"/>
      <c r="Q763" s="1768"/>
      <c r="R763" s="1768"/>
      <c r="S763" s="1768"/>
      <c r="T763" s="1768"/>
      <c r="U763" s="1768"/>
      <c r="V763" s="1768"/>
      <c r="W763" s="1768"/>
      <c r="X763" s="1767"/>
      <c r="Y763" s="1914"/>
      <c r="Z763" s="1913"/>
      <c r="AA763" s="1913"/>
      <c r="AB763" s="1794"/>
      <c r="AC763" s="1954"/>
      <c r="AD763" s="1954"/>
      <c r="AE763" s="1954"/>
      <c r="AF763" s="1954"/>
      <c r="AI763" s="1735" t="str">
        <f>"52:field207:" &amp; IF(I763="■",1,IF(L763="■",2,0))</f>
        <v>52:field207:0</v>
      </c>
    </row>
    <row r="764" spans="1:35" s="1735" customFormat="1" ht="18.75" hidden="1" customHeight="1">
      <c r="A764" s="1766"/>
      <c r="B764" s="1765"/>
      <c r="C764" s="1916"/>
      <c r="D764" s="1766"/>
      <c r="E764" s="1762"/>
      <c r="F764" s="1761"/>
      <c r="G764" s="1762"/>
      <c r="H764" s="1769" t="s">
        <v>787</v>
      </c>
      <c r="I764" s="1758" t="s">
        <v>194</v>
      </c>
      <c r="J764" s="1756" t="s">
        <v>750</v>
      </c>
      <c r="K764" s="1755"/>
      <c r="L764" s="1757" t="s">
        <v>194</v>
      </c>
      <c r="M764" s="1756" t="s">
        <v>764</v>
      </c>
      <c r="N764" s="1789"/>
      <c r="O764" s="1768"/>
      <c r="P764" s="1768"/>
      <c r="Q764" s="1768"/>
      <c r="R764" s="1768"/>
      <c r="S764" s="1768"/>
      <c r="T764" s="1768"/>
      <c r="U764" s="1768"/>
      <c r="V764" s="1768"/>
      <c r="W764" s="1768"/>
      <c r="X764" s="1767"/>
      <c r="Y764" s="1914"/>
      <c r="Z764" s="1913"/>
      <c r="AA764" s="1913"/>
      <c r="AB764" s="1794"/>
      <c r="AC764" s="1954"/>
      <c r="AD764" s="1954"/>
      <c r="AE764" s="1954"/>
      <c r="AF764" s="1954"/>
      <c r="AI764" s="1735" t="str">
        <f>"52:ryouyoushoku_code:" &amp; IF(I764="■",1,IF(L764="■",2,0))</f>
        <v>52:ryouyoushoku_code:0</v>
      </c>
    </row>
    <row r="765" spans="1:35" s="1735" customFormat="1" ht="18.75" hidden="1" customHeight="1">
      <c r="A765" s="1766"/>
      <c r="B765" s="1765"/>
      <c r="C765" s="1916"/>
      <c r="D765" s="1915"/>
      <c r="E765" s="1762"/>
      <c r="F765" s="1761"/>
      <c r="G765" s="1762"/>
      <c r="H765" s="1769" t="s">
        <v>791</v>
      </c>
      <c r="I765" s="1773" t="s">
        <v>194</v>
      </c>
      <c r="J765" s="1754" t="s">
        <v>750</v>
      </c>
      <c r="K765" s="1754"/>
      <c r="L765" s="1772" t="s">
        <v>194</v>
      </c>
      <c r="M765" s="1754" t="s">
        <v>784</v>
      </c>
      <c r="N765" s="1754"/>
      <c r="O765" s="1772" t="s">
        <v>194</v>
      </c>
      <c r="P765" s="1754" t="s">
        <v>785</v>
      </c>
      <c r="Q765" s="1768"/>
      <c r="R765" s="1768"/>
      <c r="S765" s="1768"/>
      <c r="T765" s="1768"/>
      <c r="U765" s="1768"/>
      <c r="V765" s="1768"/>
      <c r="W765" s="1768"/>
      <c r="X765" s="1767"/>
      <c r="Y765" s="1914"/>
      <c r="Z765" s="1913"/>
      <c r="AA765" s="1913"/>
      <c r="AB765" s="1794"/>
      <c r="AC765" s="1954"/>
      <c r="AD765" s="1954"/>
      <c r="AE765" s="1954"/>
      <c r="AF765" s="1954"/>
      <c r="AI765" s="1735" t="str">
        <f>"52:ninti_senmoncare_code:" &amp; IF(I765="■",1,IF(O765="■",3,IF(L765="■",2,0)))</f>
        <v>52:ninti_senmoncare_code:0</v>
      </c>
    </row>
    <row r="766" spans="1:35" s="1735" customFormat="1" ht="18.75" hidden="1" customHeight="1">
      <c r="A766" s="1766"/>
      <c r="B766" s="1765"/>
      <c r="C766" s="1916"/>
      <c r="D766" s="1915"/>
      <c r="E766" s="1762"/>
      <c r="F766" s="1761"/>
      <c r="G766" s="1762"/>
      <c r="H766" s="1769" t="s">
        <v>792</v>
      </c>
      <c r="I766" s="1773" t="s">
        <v>194</v>
      </c>
      <c r="J766" s="1754" t="s">
        <v>750</v>
      </c>
      <c r="K766" s="1754"/>
      <c r="L766" s="1772" t="s">
        <v>194</v>
      </c>
      <c r="M766" s="1754" t="s">
        <v>784</v>
      </c>
      <c r="N766" s="1754"/>
      <c r="O766" s="1772" t="s">
        <v>194</v>
      </c>
      <c r="P766" s="1754" t="s">
        <v>785</v>
      </c>
      <c r="Q766" s="1789"/>
      <c r="R766" s="1789"/>
      <c r="S766" s="1789"/>
      <c r="T766" s="1789"/>
      <c r="U766" s="1789"/>
      <c r="V766" s="1789"/>
      <c r="W766" s="1789"/>
      <c r="X766" s="1918"/>
      <c r="Y766" s="1914"/>
      <c r="Z766" s="1913"/>
      <c r="AA766" s="1913"/>
      <c r="AB766" s="1794"/>
      <c r="AC766" s="1954"/>
      <c r="AD766" s="1954"/>
      <c r="AE766" s="1954"/>
      <c r="AF766" s="1954"/>
      <c r="AI766" s="1735" t="str">
        <f>"52:field228:" &amp; IF(I766="■",1,IF(L766="■",2,IF(O766="■",3,0)))</f>
        <v>52:field228:0</v>
      </c>
    </row>
    <row r="767" spans="1:35" s="1735" customFormat="1" ht="18.75" hidden="1" customHeight="1">
      <c r="A767" s="1766"/>
      <c r="B767" s="1765"/>
      <c r="C767" s="1916"/>
      <c r="D767" s="1915"/>
      <c r="E767" s="1762"/>
      <c r="F767" s="1761"/>
      <c r="G767" s="1762"/>
      <c r="H767" s="1925" t="s">
        <v>1584</v>
      </c>
      <c r="I767" s="1924" t="s">
        <v>194</v>
      </c>
      <c r="J767" s="1923" t="s">
        <v>1621</v>
      </c>
      <c r="K767" s="1938"/>
      <c r="L767" s="1923"/>
      <c r="M767" s="1923"/>
      <c r="N767" s="1923"/>
      <c r="O767" s="1829"/>
      <c r="P767" s="1829"/>
      <c r="Q767" s="1922" t="s">
        <v>194</v>
      </c>
      <c r="R767" s="1923" t="s">
        <v>1620</v>
      </c>
      <c r="S767" s="1785"/>
      <c r="T767" s="1785"/>
      <c r="U767" s="1785"/>
      <c r="V767" s="1785"/>
      <c r="W767" s="1785"/>
      <c r="X767" s="1784"/>
      <c r="Y767" s="1914"/>
      <c r="Z767" s="1913"/>
      <c r="AA767" s="1913"/>
      <c r="AB767" s="1794"/>
      <c r="AC767" s="1954"/>
      <c r="AD767" s="1954"/>
      <c r="AE767" s="1954"/>
      <c r="AF767" s="1954"/>
      <c r="AI767" s="1735" t="str">
        <f>"52:"&amp;IF(AND(I767="□",Q767="□",I768="□",Q768="□"),"koriha_rihasido_code:0:koriha_gengo_code:0:riha_seisin_code:0:koriha_other_code:0",IF(I767="■","koriha_rihasido_code:2","koriha_rihasido_code:1")
&amp;IF(Q767="■",":koriha_gengo_code:2",":koriha_gengo_code:1")
&amp;IF(I768="■",":riha_seisin_code:2",":riha_seisin_code:1")
&amp;IF(Q768="■",":koriha_other_code:2",":koriha_other_code:1"))</f>
        <v>52:koriha_rihasido_code:0:koriha_gengo_code:0:riha_seisin_code:0:koriha_other_code:0</v>
      </c>
    </row>
    <row r="768" spans="1:35" s="1735" customFormat="1" ht="18.75" hidden="1" customHeight="1">
      <c r="A768" s="1766"/>
      <c r="B768" s="1765"/>
      <c r="C768" s="1916"/>
      <c r="D768" s="1915"/>
      <c r="E768" s="1762"/>
      <c r="F768" s="1761"/>
      <c r="G768" s="1762"/>
      <c r="H768" s="1921"/>
      <c r="I768" s="1758" t="s">
        <v>194</v>
      </c>
      <c r="J768" s="1756" t="s">
        <v>1619</v>
      </c>
      <c r="K768" s="1827"/>
      <c r="L768" s="1923"/>
      <c r="M768" s="1827"/>
      <c r="N768" s="1827"/>
      <c r="O768" s="1827"/>
      <c r="P768" s="1827"/>
      <c r="Q768" s="1757" t="s">
        <v>194</v>
      </c>
      <c r="R768" s="1756" t="s">
        <v>1618</v>
      </c>
      <c r="S768" s="1780"/>
      <c r="T768" s="1780"/>
      <c r="U768" s="1780"/>
      <c r="V768" s="1780"/>
      <c r="W768" s="1780"/>
      <c r="X768" s="1779"/>
      <c r="Y768" s="1914"/>
      <c r="Z768" s="1913"/>
      <c r="AA768" s="1913"/>
      <c r="AB768" s="1794"/>
      <c r="AC768" s="1954"/>
      <c r="AD768" s="1954"/>
      <c r="AE768" s="1954"/>
      <c r="AF768" s="1954"/>
    </row>
    <row r="769" spans="1:36" s="1735" customFormat="1" ht="18.75" hidden="1" customHeight="1">
      <c r="A769" s="1766"/>
      <c r="B769" s="1765"/>
      <c r="C769" s="1916"/>
      <c r="D769" s="1915"/>
      <c r="E769" s="1762"/>
      <c r="F769" s="1761"/>
      <c r="G769" s="1762"/>
      <c r="H769" s="1777" t="s">
        <v>1617</v>
      </c>
      <c r="I769" s="1758" t="s">
        <v>194</v>
      </c>
      <c r="J769" s="1756" t="s">
        <v>750</v>
      </c>
      <c r="K769" s="1755"/>
      <c r="L769" s="1772" t="s">
        <v>194</v>
      </c>
      <c r="M769" s="1754" t="s">
        <v>773</v>
      </c>
      <c r="N769" s="1754"/>
      <c r="O769" s="1772" t="s">
        <v>194</v>
      </c>
      <c r="P769" s="1754" t="s">
        <v>774</v>
      </c>
      <c r="Q769" s="1789"/>
      <c r="R769" s="1789"/>
      <c r="S769" s="1789"/>
      <c r="T769" s="1789"/>
      <c r="U769" s="1789"/>
      <c r="V769" s="1789"/>
      <c r="W769" s="1789"/>
      <c r="X769" s="1918"/>
      <c r="Y769" s="1914"/>
      <c r="Z769" s="1913"/>
      <c r="AA769" s="1913"/>
      <c r="AB769" s="1794"/>
      <c r="AC769" s="1954"/>
      <c r="AD769" s="1954"/>
      <c r="AE769" s="1954"/>
      <c r="AF769" s="1954"/>
      <c r="AI769" s="1735" t="str">
        <f>"52:field216:" &amp; IF(I769="■",1,IF(L769="■",3,IF(O769="■",2,0)))</f>
        <v>52:field216:0</v>
      </c>
    </row>
    <row r="770" spans="1:36" s="1735" customFormat="1" ht="18.75" hidden="1" customHeight="1">
      <c r="A770" s="1766"/>
      <c r="B770" s="1765"/>
      <c r="C770" s="1916"/>
      <c r="D770" s="1915"/>
      <c r="E770" s="1762"/>
      <c r="F770" s="1761"/>
      <c r="G770" s="1762"/>
      <c r="H770" s="1777" t="s">
        <v>454</v>
      </c>
      <c r="I770" s="1758" t="s">
        <v>194</v>
      </c>
      <c r="J770" s="1756" t="s">
        <v>750</v>
      </c>
      <c r="K770" s="1755"/>
      <c r="L770" s="1757" t="s">
        <v>194</v>
      </c>
      <c r="M770" s="1756" t="s">
        <v>764</v>
      </c>
      <c r="N770" s="1789"/>
      <c r="O770" s="1768"/>
      <c r="P770" s="1768"/>
      <c r="Q770" s="1768"/>
      <c r="R770" s="1768"/>
      <c r="S770" s="1768"/>
      <c r="T770" s="1768"/>
      <c r="U770" s="1768"/>
      <c r="V770" s="1768"/>
      <c r="W770" s="1768"/>
      <c r="X770" s="1767"/>
      <c r="Y770" s="1914"/>
      <c r="Z770" s="1913"/>
      <c r="AA770" s="1913"/>
      <c r="AB770" s="1794"/>
      <c r="AC770" s="1954"/>
      <c r="AD770" s="1954"/>
      <c r="AE770" s="1954"/>
      <c r="AF770" s="1954"/>
      <c r="AI770" s="1735" t="str">
        <f>"52:field210:" &amp; IF(I770="■",1,IF(L770="■",2,0))</f>
        <v>52:field210:0</v>
      </c>
    </row>
    <row r="771" spans="1:36" s="1735" customFormat="1" ht="18.75" hidden="1" customHeight="1">
      <c r="A771" s="1766"/>
      <c r="B771" s="1765"/>
      <c r="C771" s="1916"/>
      <c r="D771" s="1915"/>
      <c r="E771" s="1762"/>
      <c r="F771" s="1761"/>
      <c r="G771" s="1762"/>
      <c r="H771" s="1769" t="s">
        <v>455</v>
      </c>
      <c r="I771" s="1758" t="s">
        <v>194</v>
      </c>
      <c r="J771" s="1756" t="s">
        <v>750</v>
      </c>
      <c r="K771" s="1755"/>
      <c r="L771" s="1757" t="s">
        <v>194</v>
      </c>
      <c r="M771" s="1756" t="s">
        <v>764</v>
      </c>
      <c r="N771" s="1789"/>
      <c r="O771" s="1768"/>
      <c r="P771" s="1768"/>
      <c r="Q771" s="1768"/>
      <c r="R771" s="1768"/>
      <c r="S771" s="1768"/>
      <c r="T771" s="1768"/>
      <c r="U771" s="1768"/>
      <c r="V771" s="1768"/>
      <c r="W771" s="1768"/>
      <c r="X771" s="1767"/>
      <c r="Y771" s="1914"/>
      <c r="Z771" s="1913"/>
      <c r="AA771" s="1913"/>
      <c r="AB771" s="1794"/>
      <c r="AC771" s="1954"/>
      <c r="AD771" s="1954"/>
      <c r="AE771" s="1954"/>
      <c r="AF771" s="1954"/>
      <c r="AI771" s="1735" t="str">
        <f>"52:field211:" &amp; IF(I771="■",1,IF(L771="■",2,0))</f>
        <v>52:field211:0</v>
      </c>
    </row>
    <row r="772" spans="1:36" s="1735" customFormat="1" ht="18.75" hidden="1" customHeight="1">
      <c r="A772" s="1766"/>
      <c r="B772" s="1765"/>
      <c r="C772" s="1916"/>
      <c r="D772" s="1915"/>
      <c r="E772" s="1762"/>
      <c r="F772" s="1761"/>
      <c r="G772" s="1762"/>
      <c r="H772" s="1769" t="s">
        <v>456</v>
      </c>
      <c r="I772" s="1758" t="s">
        <v>194</v>
      </c>
      <c r="J772" s="1756" t="s">
        <v>750</v>
      </c>
      <c r="K772" s="1755"/>
      <c r="L772" s="1757" t="s">
        <v>194</v>
      </c>
      <c r="M772" s="1756" t="s">
        <v>764</v>
      </c>
      <c r="N772" s="1789"/>
      <c r="O772" s="1768"/>
      <c r="P772" s="1768"/>
      <c r="Q772" s="1768"/>
      <c r="R772" s="1768"/>
      <c r="S772" s="1768"/>
      <c r="T772" s="1768"/>
      <c r="U772" s="1768"/>
      <c r="V772" s="1768"/>
      <c r="W772" s="1768"/>
      <c r="X772" s="1767"/>
      <c r="Y772" s="1914"/>
      <c r="Z772" s="1913"/>
      <c r="AA772" s="1913"/>
      <c r="AB772" s="1794"/>
      <c r="AC772" s="1954"/>
      <c r="AD772" s="1954"/>
      <c r="AE772" s="1954"/>
      <c r="AF772" s="1954"/>
      <c r="AI772" s="1735" t="str">
        <f>"52:field212:" &amp; IF(I772="■",1,IF(L772="■",2,0))</f>
        <v>52:field212:0</v>
      </c>
    </row>
    <row r="773" spans="1:36" s="1735" customFormat="1" ht="18.75" hidden="1" customHeight="1">
      <c r="A773" s="1766"/>
      <c r="B773" s="1765"/>
      <c r="C773" s="1916"/>
      <c r="D773" s="1915"/>
      <c r="E773" s="1762"/>
      <c r="F773" s="1761"/>
      <c r="G773" s="1762"/>
      <c r="H773" s="1769" t="s">
        <v>457</v>
      </c>
      <c r="I773" s="1758" t="s">
        <v>194</v>
      </c>
      <c r="J773" s="1756" t="s">
        <v>750</v>
      </c>
      <c r="K773" s="1755"/>
      <c r="L773" s="1757" t="s">
        <v>194</v>
      </c>
      <c r="M773" s="1756" t="s">
        <v>764</v>
      </c>
      <c r="N773" s="1789"/>
      <c r="O773" s="1768"/>
      <c r="P773" s="1768"/>
      <c r="Q773" s="1768"/>
      <c r="R773" s="1768"/>
      <c r="S773" s="1768"/>
      <c r="T773" s="1768"/>
      <c r="U773" s="1768"/>
      <c r="V773" s="1768"/>
      <c r="W773" s="1768"/>
      <c r="X773" s="1767"/>
      <c r="Y773" s="1914"/>
      <c r="Z773" s="1913"/>
      <c r="AA773" s="1913"/>
      <c r="AB773" s="1794"/>
      <c r="AC773" s="1954"/>
      <c r="AD773" s="1954"/>
      <c r="AE773" s="1954"/>
      <c r="AF773" s="1954"/>
      <c r="AI773" s="1735" t="str">
        <f>"52:field209:" &amp; IF(I773="■",1,IF(L773="■",2,0))</f>
        <v>52:field209:0</v>
      </c>
    </row>
    <row r="774" spans="1:36" s="1735" customFormat="1" ht="18.75" hidden="1" customHeight="1">
      <c r="A774" s="1766"/>
      <c r="B774" s="1765"/>
      <c r="C774" s="1916"/>
      <c r="D774" s="1915"/>
      <c r="E774" s="1762"/>
      <c r="F774" s="1761"/>
      <c r="G774" s="1762"/>
      <c r="H774" s="1769" t="s">
        <v>1124</v>
      </c>
      <c r="I774" s="1773" t="s">
        <v>194</v>
      </c>
      <c r="J774" s="1754" t="s">
        <v>750</v>
      </c>
      <c r="K774" s="1754"/>
      <c r="L774" s="1772" t="s">
        <v>194</v>
      </c>
      <c r="M774" s="1756" t="s">
        <v>764</v>
      </c>
      <c r="N774" s="1754"/>
      <c r="O774" s="1754"/>
      <c r="P774" s="1754"/>
      <c r="Q774" s="1789"/>
      <c r="R774" s="1789"/>
      <c r="S774" s="1789"/>
      <c r="T774" s="1789"/>
      <c r="U774" s="1789"/>
      <c r="V774" s="1789"/>
      <c r="W774" s="1789"/>
      <c r="X774" s="1918"/>
      <c r="Y774" s="1914"/>
      <c r="Z774" s="1913"/>
      <c r="AA774" s="1913"/>
      <c r="AB774" s="1794"/>
      <c r="AC774" s="1954"/>
      <c r="AD774" s="1954"/>
      <c r="AE774" s="1954"/>
      <c r="AF774" s="1954"/>
      <c r="AI774" s="1735" t="str">
        <f>"52:field226:" &amp; IF(I774="■",1,IF(L774="■",2,0))</f>
        <v>52:field226:0</v>
      </c>
    </row>
    <row r="775" spans="1:36" s="1735" customFormat="1" ht="18.75" hidden="1" customHeight="1">
      <c r="A775" s="1766"/>
      <c r="B775" s="1765"/>
      <c r="C775" s="1916"/>
      <c r="D775" s="1915"/>
      <c r="E775" s="1762"/>
      <c r="F775" s="1761"/>
      <c r="G775" s="1762"/>
      <c r="H775" s="1769" t="s">
        <v>1125</v>
      </c>
      <c r="I775" s="1773" t="s">
        <v>194</v>
      </c>
      <c r="J775" s="1754" t="s">
        <v>750</v>
      </c>
      <c r="K775" s="1754"/>
      <c r="L775" s="1772" t="s">
        <v>194</v>
      </c>
      <c r="M775" s="1756" t="s">
        <v>764</v>
      </c>
      <c r="N775" s="1754"/>
      <c r="O775" s="1754"/>
      <c r="P775" s="1754"/>
      <c r="Q775" s="1789"/>
      <c r="R775" s="1789"/>
      <c r="S775" s="1789"/>
      <c r="T775" s="1789"/>
      <c r="U775" s="1789"/>
      <c r="V775" s="1789"/>
      <c r="W775" s="1789"/>
      <c r="X775" s="1918"/>
      <c r="Y775" s="1914"/>
      <c r="Z775" s="1913"/>
      <c r="AA775" s="1913"/>
      <c r="AB775" s="1794"/>
      <c r="AC775" s="1954"/>
      <c r="AD775" s="1954"/>
      <c r="AE775" s="1954"/>
      <c r="AF775" s="1954"/>
      <c r="AI775" s="1735" t="str">
        <f>"52:field227:" &amp; IF(I775="■",1,IF(L775="■",2,0))</f>
        <v>52:field227:0</v>
      </c>
    </row>
    <row r="776" spans="1:36" s="1735" customFormat="1" ht="18.75" hidden="1" customHeight="1">
      <c r="A776" s="1766"/>
      <c r="B776" s="1765"/>
      <c r="C776" s="1916"/>
      <c r="D776" s="1915"/>
      <c r="E776" s="1762"/>
      <c r="F776" s="1761"/>
      <c r="G776" s="1762"/>
      <c r="H776" s="1917" t="s">
        <v>794</v>
      </c>
      <c r="I776" s="1773" t="s">
        <v>194</v>
      </c>
      <c r="J776" s="1754" t="s">
        <v>750</v>
      </c>
      <c r="K776" s="1754"/>
      <c r="L776" s="1772" t="s">
        <v>194</v>
      </c>
      <c r="M776" s="1754" t="s">
        <v>784</v>
      </c>
      <c r="N776" s="1754"/>
      <c r="O776" s="1772" t="s">
        <v>194</v>
      </c>
      <c r="P776" s="1754" t="s">
        <v>785</v>
      </c>
      <c r="Q776" s="1768"/>
      <c r="R776" s="1768"/>
      <c r="S776" s="1768"/>
      <c r="T776" s="1768"/>
      <c r="U776" s="1829"/>
      <c r="V776" s="1829"/>
      <c r="W776" s="1829"/>
      <c r="X776" s="1828"/>
      <c r="Y776" s="1914"/>
      <c r="Z776" s="1913"/>
      <c r="AA776" s="1913"/>
      <c r="AB776" s="1794"/>
      <c r="AC776" s="1954"/>
      <c r="AD776" s="1954"/>
      <c r="AE776" s="1954"/>
      <c r="AF776" s="1954"/>
      <c r="AI776" s="1735" t="str">
        <f>"52:field225:" &amp; IF(I776="■",1,IF(L776="■",2,IF(O776="■",3,0)))</f>
        <v>52:field225:0</v>
      </c>
    </row>
    <row r="777" spans="1:36" s="1735" customFormat="1" ht="18.75" hidden="1" customHeight="1">
      <c r="A777" s="1766"/>
      <c r="B777" s="1765"/>
      <c r="C777" s="1916"/>
      <c r="D777" s="1915"/>
      <c r="E777" s="1762"/>
      <c r="F777" s="1761"/>
      <c r="G777" s="1762"/>
      <c r="H777" s="1769" t="s">
        <v>795</v>
      </c>
      <c r="I777" s="1773" t="s">
        <v>194</v>
      </c>
      <c r="J777" s="1754" t="s">
        <v>750</v>
      </c>
      <c r="K777" s="1754"/>
      <c r="L777" s="1772" t="s">
        <v>194</v>
      </c>
      <c r="M777" s="1754" t="s">
        <v>796</v>
      </c>
      <c r="N777" s="1754"/>
      <c r="O777" s="1772" t="s">
        <v>194</v>
      </c>
      <c r="P777" s="1754" t="s">
        <v>797</v>
      </c>
      <c r="Q777" s="1771"/>
      <c r="R777" s="1772" t="s">
        <v>194</v>
      </c>
      <c r="S777" s="1754" t="s">
        <v>798</v>
      </c>
      <c r="T777" s="1754"/>
      <c r="U777" s="1771"/>
      <c r="V777" s="1771"/>
      <c r="W777" s="1771"/>
      <c r="X777" s="1770"/>
      <c r="Y777" s="1914"/>
      <c r="Z777" s="1913"/>
      <c r="AA777" s="1913"/>
      <c r="AB777" s="1794"/>
      <c r="AC777" s="1954"/>
      <c r="AD777" s="1954"/>
      <c r="AE777" s="1954"/>
      <c r="AF777" s="1954"/>
      <c r="AI777" s="1735" t="str">
        <f>"52:serteikyo_kyoka_code:" &amp; IF(I777="■",1,IF(L777="■",6,IF(O777="■",5,IF(R777="■",7,0))))</f>
        <v>52:serteikyo_kyoka_code:0</v>
      </c>
    </row>
    <row r="778" spans="1:36" s="1735" customFormat="1" ht="18.75" hidden="1" customHeight="1">
      <c r="A778" s="1752"/>
      <c r="B778" s="1751"/>
      <c r="C778" s="1750"/>
      <c r="D778" s="1749"/>
      <c r="E778" s="1748"/>
      <c r="F778" s="1747"/>
      <c r="G778" s="1808"/>
      <c r="H778" s="1909" t="s">
        <v>1553</v>
      </c>
      <c r="I778" s="1744" t="s">
        <v>194</v>
      </c>
      <c r="J778" s="1905" t="s">
        <v>750</v>
      </c>
      <c r="K778" s="1905"/>
      <c r="L778" s="1743" t="s">
        <v>194</v>
      </c>
      <c r="M778" s="1905" t="s">
        <v>1552</v>
      </c>
      <c r="N778" s="1908"/>
      <c r="O778" s="1743" t="s">
        <v>194</v>
      </c>
      <c r="P778" s="1907" t="s">
        <v>1551</v>
      </c>
      <c r="Q778" s="1906"/>
      <c r="R778" s="1743" t="s">
        <v>194</v>
      </c>
      <c r="S778" s="1905" t="s">
        <v>1550</v>
      </c>
      <c r="T778" s="1906"/>
      <c r="U778" s="1743" t="s">
        <v>194</v>
      </c>
      <c r="V778" s="1905" t="s">
        <v>1549</v>
      </c>
      <c r="W778" s="1904"/>
      <c r="X778" s="1903"/>
      <c r="Y778" s="1902"/>
      <c r="Z778" s="1902"/>
      <c r="AA778" s="1902"/>
      <c r="AB778" s="1901"/>
      <c r="AC778" s="1953"/>
      <c r="AD778" s="1953"/>
      <c r="AE778" s="1953"/>
      <c r="AF778" s="1953"/>
      <c r="AI778" s="1735" t="str">
        <f>"52:shoguukaizen_code:"&amp;IF(I778="■",1,IF(L778="■",7,IF(O778="■",8,IF(R778="■",9,IF(U778="■","A",0)))))</f>
        <v>52:shoguukaizen_code:0</v>
      </c>
    </row>
    <row r="779" spans="1:36" s="1735" customFormat="1" ht="18.75" hidden="1" customHeight="1">
      <c r="A779" s="1807"/>
      <c r="B779" s="1806"/>
      <c r="C779" s="1934"/>
      <c r="D779" s="1933"/>
      <c r="E779" s="1804"/>
      <c r="F779" s="1803"/>
      <c r="G779" s="1804"/>
      <c r="H779" s="1801" t="s">
        <v>746</v>
      </c>
      <c r="I779" s="1800" t="s">
        <v>194</v>
      </c>
      <c r="J779" s="1799" t="s">
        <v>747</v>
      </c>
      <c r="K779" s="1846"/>
      <c r="L779" s="1845"/>
      <c r="M779" s="1798" t="s">
        <v>194</v>
      </c>
      <c r="N779" s="1799" t="s">
        <v>748</v>
      </c>
      <c r="O779" s="1796"/>
      <c r="P779" s="1796"/>
      <c r="Q779" s="1796"/>
      <c r="R779" s="1796"/>
      <c r="S779" s="1796"/>
      <c r="T779" s="1796"/>
      <c r="U779" s="1796"/>
      <c r="V779" s="1796"/>
      <c r="W779" s="1796"/>
      <c r="X779" s="1795"/>
      <c r="Y779" s="1873" t="s">
        <v>194</v>
      </c>
      <c r="Z779" s="1872" t="s">
        <v>749</v>
      </c>
      <c r="AA779" s="1872"/>
      <c r="AB779" s="1929"/>
      <c r="AC779" s="1959"/>
      <c r="AD779" s="1959"/>
      <c r="AE779" s="1959"/>
      <c r="AF779" s="1959"/>
      <c r="AG779" s="1735" t="str">
        <f>"ser_code = '" &amp; IF(A790="■",52,"") &amp; "'"</f>
        <v>ser_code = ''</v>
      </c>
      <c r="AI779" s="1735" t="str">
        <f>"52:yakan_kinmu_code:" &amp; IF(I779="■",1,IF(M779="■",6,0))</f>
        <v>52:yakan_kinmu_code:0</v>
      </c>
      <c r="AJ779" s="1735" t="str">
        <f>"52:field203:" &amp; IF(Y779="■",1,IF(Y780="■",2,0))</f>
        <v>52:field203:0</v>
      </c>
    </row>
    <row r="780" spans="1:36" s="1735" customFormat="1" ht="18.75" hidden="1" customHeight="1">
      <c r="A780" s="1766"/>
      <c r="B780" s="1765"/>
      <c r="C780" s="1916"/>
      <c r="D780" s="1915"/>
      <c r="E780" s="1762"/>
      <c r="F780" s="1761"/>
      <c r="G780" s="1762"/>
      <c r="H780" s="1925" t="s">
        <v>98</v>
      </c>
      <c r="I780" s="1924" t="s">
        <v>194</v>
      </c>
      <c r="J780" s="1923" t="s">
        <v>750</v>
      </c>
      <c r="K780" s="1923"/>
      <c r="L780" s="1785"/>
      <c r="M780" s="1922" t="s">
        <v>194</v>
      </c>
      <c r="N780" s="1923" t="s">
        <v>1568</v>
      </c>
      <c r="O780" s="1923"/>
      <c r="P780" s="1785"/>
      <c r="Q780" s="1922" t="s">
        <v>194</v>
      </c>
      <c r="R780" s="1785" t="s">
        <v>1615</v>
      </c>
      <c r="S780" s="1785"/>
      <c r="T780" s="1785"/>
      <c r="U780" s="1922" t="s">
        <v>194</v>
      </c>
      <c r="V780" s="1785" t="s">
        <v>1614</v>
      </c>
      <c r="W780" s="1785"/>
      <c r="X780" s="1784"/>
      <c r="Y780" s="1776" t="s">
        <v>194</v>
      </c>
      <c r="Z780" s="1738" t="s">
        <v>754</v>
      </c>
      <c r="AA780" s="1913"/>
      <c r="AB780" s="1794"/>
      <c r="AC780" s="1954"/>
      <c r="AD780" s="1954"/>
      <c r="AE780" s="1954"/>
      <c r="AF780" s="1954"/>
      <c r="AG780" s="1735" t="str">
        <f>"52:sisetukbn_code:" &amp; IF(D790="■",9,0)</f>
        <v>52:sisetukbn_code:0</v>
      </c>
      <c r="AI780" s="1735" t="str">
        <f>"52:"&amp;IF(AND(I780="□",M780="□",Q780="□",U780="□",I781="□",M781="□",Q781="□",I782="□"),"ketu_doctor_code:0",IF(I780="■","ketu_doctor_code:1:ketu_kangos_code:1:ketu_kshoku_code:1:ketu_rryoho_code:1:ketu_sryoho_code:1:ketu_ksiensou_code:1:ketu_gengo_code:1",IF(M780="■","ketu_doctor_code:2","ketu_doctor_code:1")
&amp;IF(Q780="■",":ketu_kangos_code:2",":ketu_kangos_code:1")
&amp;IF(U780="■",":ketu_kshoku_code:2",":ketu_kshoku_code:1")
&amp;IF(I781="■",":ketu_rryoho_code:2",":ketu_rryoho_code:1")
&amp;IF(M781="■",":ketu_sryoho_code:2",":ketu_sryoho_code:1")
&amp;IF(Q781="■",":ketu_ksiensou_code:2",":ketu_ksiensou_code:1")
&amp;IF(I782="■",":ketu_gengo_code:2",":ketu_gengo_code:1")))</f>
        <v>52:ketu_doctor_code:0</v>
      </c>
    </row>
    <row r="781" spans="1:36" s="1735" customFormat="1" ht="18.75" hidden="1" customHeight="1">
      <c r="A781" s="1766"/>
      <c r="B781" s="1765"/>
      <c r="C781" s="1916"/>
      <c r="D781" s="1915"/>
      <c r="E781" s="1762"/>
      <c r="F781" s="1761"/>
      <c r="G781" s="1762"/>
      <c r="H781" s="1958"/>
      <c r="I781" s="1776" t="s">
        <v>194</v>
      </c>
      <c r="J781" s="1738" t="s">
        <v>1613</v>
      </c>
      <c r="K781" s="1738"/>
      <c r="L781" s="1734"/>
      <c r="M781" s="1878" t="s">
        <v>194</v>
      </c>
      <c r="N781" s="1738" t="s">
        <v>1612</v>
      </c>
      <c r="O781" s="1738"/>
      <c r="P781" s="1734"/>
      <c r="Q781" s="1878" t="s">
        <v>194</v>
      </c>
      <c r="R781" s="1734" t="s">
        <v>1611</v>
      </c>
      <c r="S781" s="1734"/>
      <c r="T781" s="1734"/>
      <c r="U781" s="1734"/>
      <c r="V781" s="1734"/>
      <c r="W781" s="1734"/>
      <c r="X781" s="1957"/>
      <c r="Y781" s="1914"/>
      <c r="Z781" s="1913"/>
      <c r="AA781" s="1913"/>
      <c r="AB781" s="1794"/>
      <c r="AC781" s="1954"/>
      <c r="AD781" s="1954"/>
      <c r="AE781" s="1954"/>
      <c r="AF781" s="1954"/>
    </row>
    <row r="782" spans="1:36" s="1735" customFormat="1" ht="18.75" hidden="1" customHeight="1">
      <c r="A782" s="1766"/>
      <c r="B782" s="1765"/>
      <c r="C782" s="1916"/>
      <c r="D782" s="1915"/>
      <c r="E782" s="1762"/>
      <c r="F782" s="1761"/>
      <c r="G782" s="1762"/>
      <c r="H782" s="1921"/>
      <c r="I782" s="1758" t="s">
        <v>194</v>
      </c>
      <c r="J782" s="1756" t="s">
        <v>1610</v>
      </c>
      <c r="K782" s="1756"/>
      <c r="L782" s="1780"/>
      <c r="M782" s="1757"/>
      <c r="N782" s="1756"/>
      <c r="O782" s="1756"/>
      <c r="P782" s="1780"/>
      <c r="Q782" s="1780"/>
      <c r="R782" s="1780"/>
      <c r="S782" s="1780"/>
      <c r="T782" s="1780"/>
      <c r="U782" s="1780"/>
      <c r="V782" s="1780"/>
      <c r="W782" s="1780"/>
      <c r="X782" s="1779"/>
      <c r="Y782" s="1914"/>
      <c r="Z782" s="1913"/>
      <c r="AA782" s="1913"/>
      <c r="AB782" s="1794"/>
      <c r="AC782" s="1954"/>
      <c r="AD782" s="1954"/>
      <c r="AE782" s="1954"/>
      <c r="AF782" s="1954"/>
    </row>
    <row r="783" spans="1:36" s="1735" customFormat="1" ht="18.75" hidden="1" customHeight="1">
      <c r="A783" s="1766"/>
      <c r="B783" s="1765"/>
      <c r="C783" s="1916"/>
      <c r="D783" s="1915"/>
      <c r="E783" s="1762"/>
      <c r="F783" s="1761"/>
      <c r="G783" s="1762"/>
      <c r="H783" s="1769" t="s">
        <v>99</v>
      </c>
      <c r="I783" s="1773" t="s">
        <v>194</v>
      </c>
      <c r="J783" s="1754" t="s">
        <v>755</v>
      </c>
      <c r="K783" s="1789"/>
      <c r="L783" s="1791"/>
      <c r="M783" s="1772" t="s">
        <v>194</v>
      </c>
      <c r="N783" s="1754" t="s">
        <v>756</v>
      </c>
      <c r="O783" s="1789"/>
      <c r="P783" s="1789"/>
      <c r="Q783" s="1789"/>
      <c r="R783" s="1789"/>
      <c r="S783" s="1789"/>
      <c r="T783" s="1789"/>
      <c r="U783" s="1789"/>
      <c r="V783" s="1789"/>
      <c r="W783" s="1789"/>
      <c r="X783" s="1918"/>
      <c r="Y783" s="1914"/>
      <c r="Z783" s="1913"/>
      <c r="AA783" s="1913"/>
      <c r="AB783" s="1794"/>
      <c r="AC783" s="1954"/>
      <c r="AD783" s="1954"/>
      <c r="AE783" s="1954"/>
      <c r="AF783" s="1954"/>
      <c r="AI783" s="1735" t="str">
        <f>"52:unitcare_code:" &amp; IF(I783="■",1,IF(M783="■",2,0))</f>
        <v>52:unitcare_code:0</v>
      </c>
    </row>
    <row r="784" spans="1:36" s="1735" customFormat="1" ht="18.75" hidden="1" customHeight="1">
      <c r="A784" s="1766"/>
      <c r="B784" s="1765"/>
      <c r="C784" s="1916"/>
      <c r="D784" s="1915"/>
      <c r="E784" s="1762"/>
      <c r="F784" s="1761"/>
      <c r="G784" s="1762"/>
      <c r="H784" s="1769" t="s">
        <v>757</v>
      </c>
      <c r="I784" s="1773" t="s">
        <v>194</v>
      </c>
      <c r="J784" s="1754" t="s">
        <v>758</v>
      </c>
      <c r="K784" s="1789"/>
      <c r="L784" s="1791"/>
      <c r="M784" s="1772" t="s">
        <v>194</v>
      </c>
      <c r="N784" s="1754" t="s">
        <v>759</v>
      </c>
      <c r="O784" s="1789"/>
      <c r="P784" s="1789"/>
      <c r="Q784" s="1789"/>
      <c r="R784" s="1789"/>
      <c r="S784" s="1789"/>
      <c r="T784" s="1789"/>
      <c r="U784" s="1789"/>
      <c r="V784" s="1789"/>
      <c r="W784" s="1789"/>
      <c r="X784" s="1918"/>
      <c r="Y784" s="1914"/>
      <c r="Z784" s="1913"/>
      <c r="AA784" s="1913"/>
      <c r="AB784" s="1794"/>
      <c r="AC784" s="1954"/>
      <c r="AD784" s="1954"/>
      <c r="AE784" s="1954"/>
      <c r="AF784" s="1954"/>
      <c r="AI784" s="1735" t="str">
        <f>"52:sintaikousoku_code:" &amp; IF(I784="■",1,IF(M784="■",2,0))</f>
        <v>52:sintaikousoku_code:0</v>
      </c>
    </row>
    <row r="785" spans="1:35" s="1735" customFormat="1" ht="18.75" hidden="1" customHeight="1">
      <c r="A785" s="1766"/>
      <c r="B785" s="1765"/>
      <c r="C785" s="1916"/>
      <c r="D785" s="1915"/>
      <c r="E785" s="1762"/>
      <c r="F785" s="1761"/>
      <c r="G785" s="1762"/>
      <c r="H785" s="1769" t="s">
        <v>448</v>
      </c>
      <c r="I785" s="1773" t="s">
        <v>194</v>
      </c>
      <c r="J785" s="1754" t="s">
        <v>758</v>
      </c>
      <c r="K785" s="1789"/>
      <c r="L785" s="1791"/>
      <c r="M785" s="1772" t="s">
        <v>194</v>
      </c>
      <c r="N785" s="1754" t="s">
        <v>759</v>
      </c>
      <c r="O785" s="1789"/>
      <c r="P785" s="1789"/>
      <c r="Q785" s="1789"/>
      <c r="R785" s="1789"/>
      <c r="S785" s="1789"/>
      <c r="T785" s="1789"/>
      <c r="U785" s="1789"/>
      <c r="V785" s="1789"/>
      <c r="W785" s="1789"/>
      <c r="X785" s="1918"/>
      <c r="Y785" s="1914"/>
      <c r="Z785" s="1913"/>
      <c r="AA785" s="1913"/>
      <c r="AB785" s="1794"/>
      <c r="AC785" s="1954"/>
      <c r="AD785" s="1954"/>
      <c r="AE785" s="1954"/>
      <c r="AF785" s="1954"/>
      <c r="AI785" s="1735" t="str">
        <f>"52:field208:" &amp; IF(I785="■",1,IF(M785="■",2,0))</f>
        <v>52:field208:0</v>
      </c>
    </row>
    <row r="786" spans="1:35" s="1735" customFormat="1" ht="19.5" hidden="1" customHeight="1">
      <c r="A786" s="1766"/>
      <c r="B786" s="1765"/>
      <c r="C786" s="1764"/>
      <c r="D786" s="1763"/>
      <c r="E786" s="1762"/>
      <c r="F786" s="1761"/>
      <c r="G786" s="1793"/>
      <c r="H786" s="1792" t="s">
        <v>760</v>
      </c>
      <c r="I786" s="1773" t="s">
        <v>194</v>
      </c>
      <c r="J786" s="1754" t="s">
        <v>758</v>
      </c>
      <c r="K786" s="1789"/>
      <c r="L786" s="1791"/>
      <c r="M786" s="1772" t="s">
        <v>194</v>
      </c>
      <c r="N786" s="1754" t="s">
        <v>761</v>
      </c>
      <c r="O786" s="1920"/>
      <c r="P786" s="1754"/>
      <c r="Q786" s="1768"/>
      <c r="R786" s="1768"/>
      <c r="S786" s="1768"/>
      <c r="T786" s="1768"/>
      <c r="U786" s="1768"/>
      <c r="V786" s="1768"/>
      <c r="W786" s="1768"/>
      <c r="X786" s="1767"/>
      <c r="Y786" s="1913"/>
      <c r="Z786" s="1913"/>
      <c r="AA786" s="1913"/>
      <c r="AB786" s="1794"/>
      <c r="AC786" s="1954"/>
      <c r="AD786" s="1954"/>
      <c r="AE786" s="1954"/>
      <c r="AF786" s="1954"/>
      <c r="AI786" s="1735" t="str">
        <f>"52:field223:" &amp; IF(I786="■",1,IF(M786="■",2,0))</f>
        <v>52:field223:0</v>
      </c>
    </row>
    <row r="787" spans="1:35" s="1735" customFormat="1" ht="19.5" hidden="1" customHeight="1">
      <c r="A787" s="1766"/>
      <c r="B787" s="1765"/>
      <c r="C787" s="1764"/>
      <c r="D787" s="1763"/>
      <c r="E787" s="1762"/>
      <c r="F787" s="1761"/>
      <c r="G787" s="1793"/>
      <c r="H787" s="1792" t="s">
        <v>762</v>
      </c>
      <c r="I787" s="1773" t="s">
        <v>194</v>
      </c>
      <c r="J787" s="1754" t="s">
        <v>758</v>
      </c>
      <c r="K787" s="1789"/>
      <c r="L787" s="1791"/>
      <c r="M787" s="1772" t="s">
        <v>194</v>
      </c>
      <c r="N787" s="1754" t="s">
        <v>761</v>
      </c>
      <c r="O787" s="1920"/>
      <c r="P787" s="1754"/>
      <c r="Q787" s="1768"/>
      <c r="R787" s="1768"/>
      <c r="S787" s="1768"/>
      <c r="T787" s="1768"/>
      <c r="U787" s="1768"/>
      <c r="V787" s="1768"/>
      <c r="W787" s="1768"/>
      <c r="X787" s="1767"/>
      <c r="Y787" s="1913"/>
      <c r="Z787" s="1913"/>
      <c r="AA787" s="1913"/>
      <c r="AB787" s="1794"/>
      <c r="AC787" s="1954"/>
      <c r="AD787" s="1954"/>
      <c r="AE787" s="1954"/>
      <c r="AF787" s="1954"/>
      <c r="AI787" s="1735" t="str">
        <f>"52:field232:" &amp; IF(I787="■",1,IF(M787="■",2,0))</f>
        <v>52:field232:0</v>
      </c>
    </row>
    <row r="788" spans="1:35" s="1735" customFormat="1" ht="18.75" hidden="1" customHeight="1">
      <c r="A788" s="1766"/>
      <c r="B788" s="1765"/>
      <c r="C788" s="1916"/>
      <c r="D788" s="1915"/>
      <c r="E788" s="1762"/>
      <c r="F788" s="1761"/>
      <c r="G788" s="1762"/>
      <c r="H788" s="1788" t="s">
        <v>763</v>
      </c>
      <c r="I788" s="1868" t="s">
        <v>194</v>
      </c>
      <c r="J788" s="1830" t="s">
        <v>750</v>
      </c>
      <c r="K788" s="1830"/>
      <c r="L788" s="1919" t="s">
        <v>194</v>
      </c>
      <c r="M788" s="1830" t="s">
        <v>764</v>
      </c>
      <c r="N788" s="1830"/>
      <c r="O788" s="1923"/>
      <c r="P788" s="1923"/>
      <c r="Q788" s="1923"/>
      <c r="R788" s="1923"/>
      <c r="S788" s="1923"/>
      <c r="T788" s="1923"/>
      <c r="U788" s="1923"/>
      <c r="V788" s="1923"/>
      <c r="W788" s="1923"/>
      <c r="X788" s="1956"/>
      <c r="Y788" s="1914"/>
      <c r="Z788" s="1913"/>
      <c r="AA788" s="1913"/>
      <c r="AB788" s="1794"/>
      <c r="AC788" s="1954"/>
      <c r="AD788" s="1954"/>
      <c r="AE788" s="1954"/>
      <c r="AF788" s="1954"/>
      <c r="AI788" s="1735" t="str">
        <f>"52:field206:" &amp; IF(I788="■",1,IF(L788="■",2,0))</f>
        <v>52:field206:0</v>
      </c>
    </row>
    <row r="789" spans="1:35" s="1735" customFormat="1" ht="18.75" hidden="1" customHeight="1">
      <c r="A789" s="1766"/>
      <c r="B789" s="1765"/>
      <c r="C789" s="1916"/>
      <c r="D789" s="1915"/>
      <c r="E789" s="1762"/>
      <c r="F789" s="1761"/>
      <c r="G789" s="1762"/>
      <c r="H789" s="1783"/>
      <c r="I789" s="1819"/>
      <c r="J789" s="1781"/>
      <c r="K789" s="1781"/>
      <c r="L789" s="1818"/>
      <c r="M789" s="1781"/>
      <c r="N789" s="1781"/>
      <c r="O789" s="1756"/>
      <c r="P789" s="1756"/>
      <c r="Q789" s="1756"/>
      <c r="R789" s="1756"/>
      <c r="S789" s="1756"/>
      <c r="T789" s="1756"/>
      <c r="U789" s="1756"/>
      <c r="V789" s="1756"/>
      <c r="W789" s="1756"/>
      <c r="X789" s="1814"/>
      <c r="Y789" s="1914"/>
      <c r="Z789" s="1913"/>
      <c r="AA789" s="1913"/>
      <c r="AB789" s="1794"/>
      <c r="AC789" s="1954"/>
      <c r="AD789" s="1954"/>
      <c r="AE789" s="1954"/>
      <c r="AF789" s="1954"/>
    </row>
    <row r="790" spans="1:35" s="835" customFormat="1" ht="19.5" hidden="1" customHeight="1">
      <c r="A790" s="1776" t="s">
        <v>194</v>
      </c>
      <c r="B790" s="1765">
        <v>52</v>
      </c>
      <c r="C790" s="1916" t="s">
        <v>1609</v>
      </c>
      <c r="D790" s="1776" t="s">
        <v>194</v>
      </c>
      <c r="E790" s="1762" t="s">
        <v>1616</v>
      </c>
      <c r="F790" s="832"/>
      <c r="G790" s="385"/>
      <c r="H790" s="1945" t="s">
        <v>1597</v>
      </c>
      <c r="I790" s="1773" t="s">
        <v>194</v>
      </c>
      <c r="J790" s="1941" t="s">
        <v>1595</v>
      </c>
      <c r="K790" s="1944"/>
      <c r="L790" s="1943"/>
      <c r="M790" s="1772" t="s">
        <v>194</v>
      </c>
      <c r="N790" s="1941" t="s">
        <v>1594</v>
      </c>
      <c r="O790" s="1942"/>
      <c r="P790" s="1941"/>
      <c r="Q790" s="1940"/>
      <c r="R790" s="1940"/>
      <c r="S790" s="1940"/>
      <c r="T790" s="1940"/>
      <c r="U790" s="1940"/>
      <c r="V790" s="1940"/>
      <c r="W790" s="1940"/>
      <c r="X790" s="1939"/>
      <c r="Y790" s="557"/>
      <c r="Z790" s="2"/>
      <c r="AA790" s="837"/>
      <c r="AB790" s="339"/>
      <c r="AC790" s="1954"/>
      <c r="AD790" s="1954"/>
      <c r="AE790" s="1954"/>
      <c r="AF790" s="1954"/>
      <c r="AI790" s="1735" t="str">
        <f>"52:field242:" &amp; IF(I790="■",1,IF(M790="■",2,0))</f>
        <v>52:field242:0</v>
      </c>
    </row>
    <row r="791" spans="1:35" s="1735" customFormat="1" ht="18.75" hidden="1" customHeight="1">
      <c r="A791" s="1766"/>
      <c r="B791" s="1765"/>
      <c r="C791" s="1916"/>
      <c r="D791" s="1915"/>
      <c r="E791" s="1762"/>
      <c r="F791" s="1761"/>
      <c r="G791" s="1762"/>
      <c r="H791" s="1769" t="s">
        <v>768</v>
      </c>
      <c r="I791" s="1758" t="s">
        <v>194</v>
      </c>
      <c r="J791" s="1756" t="s">
        <v>750</v>
      </c>
      <c r="K791" s="1755"/>
      <c r="L791" s="1757" t="s">
        <v>194</v>
      </c>
      <c r="M791" s="1756" t="s">
        <v>764</v>
      </c>
      <c r="N791" s="1789"/>
      <c r="O791" s="1789"/>
      <c r="P791" s="1789"/>
      <c r="Q791" s="1789"/>
      <c r="R791" s="1789"/>
      <c r="S791" s="1789"/>
      <c r="T791" s="1789"/>
      <c r="U791" s="1789"/>
      <c r="V791" s="1789"/>
      <c r="W791" s="1789"/>
      <c r="X791" s="1918"/>
      <c r="Y791" s="1914"/>
      <c r="Z791" s="1913"/>
      <c r="AA791" s="1913"/>
      <c r="AB791" s="1794"/>
      <c r="AC791" s="1954"/>
      <c r="AD791" s="1954"/>
      <c r="AE791" s="1954"/>
      <c r="AF791" s="1954"/>
      <c r="AI791" s="1735" t="str">
        <f>"52:yakinhaiti_code:" &amp; IF(I791="■",1,IF(L791="■",2,0))</f>
        <v>52:yakinhaiti_code:0</v>
      </c>
    </row>
    <row r="792" spans="1:35" s="1735" customFormat="1" ht="18.75" hidden="1" customHeight="1">
      <c r="A792" s="1766"/>
      <c r="B792" s="1765"/>
      <c r="C792" s="1916"/>
      <c r="D792" s="1915"/>
      <c r="E792" s="1762"/>
      <c r="F792" s="1761"/>
      <c r="G792" s="1762"/>
      <c r="H792" s="1769" t="s">
        <v>1607</v>
      </c>
      <c r="I792" s="1758" t="s">
        <v>194</v>
      </c>
      <c r="J792" s="1756" t="s">
        <v>750</v>
      </c>
      <c r="K792" s="1755"/>
      <c r="L792" s="1757" t="s">
        <v>194</v>
      </c>
      <c r="M792" s="1756" t="s">
        <v>764</v>
      </c>
      <c r="N792" s="1789"/>
      <c r="O792" s="1789"/>
      <c r="P792" s="1789"/>
      <c r="Q792" s="1789"/>
      <c r="R792" s="1789"/>
      <c r="S792" s="1789"/>
      <c r="T792" s="1789"/>
      <c r="U792" s="1789"/>
      <c r="V792" s="1789"/>
      <c r="W792" s="1789"/>
      <c r="X792" s="1918"/>
      <c r="Y792" s="1914"/>
      <c r="Z792" s="1913"/>
      <c r="AA792" s="1913"/>
      <c r="AB792" s="1794"/>
      <c r="AC792" s="1954"/>
      <c r="AD792" s="1954"/>
      <c r="AE792" s="1954"/>
      <c r="AF792" s="1954"/>
      <c r="AI792" s="1735" t="str">
        <f>"52:ninticare_code:" &amp; IF(I792="■",1,IF(L792="■",2,0))</f>
        <v>52:ninticare_code:0</v>
      </c>
    </row>
    <row r="793" spans="1:35" s="1735" customFormat="1" ht="18.75" hidden="1" customHeight="1">
      <c r="A793" s="1766"/>
      <c r="B793" s="1765"/>
      <c r="C793" s="1916"/>
      <c r="D793" s="1915"/>
      <c r="E793" s="1762"/>
      <c r="F793" s="1761"/>
      <c r="G793" s="1762"/>
      <c r="H793" s="1955" t="s">
        <v>782</v>
      </c>
      <c r="I793" s="1758" t="s">
        <v>194</v>
      </c>
      <c r="J793" s="1756" t="s">
        <v>750</v>
      </c>
      <c r="K793" s="1755"/>
      <c r="L793" s="1757" t="s">
        <v>194</v>
      </c>
      <c r="M793" s="1756" t="s">
        <v>764</v>
      </c>
      <c r="N793" s="1789"/>
      <c r="O793" s="1789"/>
      <c r="P793" s="1789"/>
      <c r="Q793" s="1789"/>
      <c r="R793" s="1789"/>
      <c r="S793" s="1789"/>
      <c r="T793" s="1789"/>
      <c r="U793" s="1789"/>
      <c r="V793" s="1789"/>
      <c r="W793" s="1789"/>
      <c r="X793" s="1918"/>
      <c r="Y793" s="1914"/>
      <c r="Z793" s="1913"/>
      <c r="AA793" s="1913"/>
      <c r="AB793" s="1794"/>
      <c r="AC793" s="1954"/>
      <c r="AD793" s="1954"/>
      <c r="AE793" s="1954"/>
      <c r="AF793" s="1954"/>
      <c r="AI793" s="1735" t="str">
        <f>"52:jyakuninti_uke_code:" &amp; IF(I793="■",1,IF(L793="■",2,0))</f>
        <v>52:jyakuninti_uke_code:0</v>
      </c>
    </row>
    <row r="794" spans="1:35" s="1735" customFormat="1" ht="18.75" hidden="1" customHeight="1">
      <c r="A794" s="1766"/>
      <c r="B794" s="1765"/>
      <c r="C794" s="1916"/>
      <c r="D794" s="1915"/>
      <c r="E794" s="1762"/>
      <c r="F794" s="1761"/>
      <c r="G794" s="1762"/>
      <c r="H794" s="1769" t="s">
        <v>1606</v>
      </c>
      <c r="I794" s="1758" t="s">
        <v>194</v>
      </c>
      <c r="J794" s="1756" t="s">
        <v>750</v>
      </c>
      <c r="K794" s="1755"/>
      <c r="L794" s="1757" t="s">
        <v>194</v>
      </c>
      <c r="M794" s="1756" t="s">
        <v>764</v>
      </c>
      <c r="N794" s="1789"/>
      <c r="O794" s="1789"/>
      <c r="P794" s="1789"/>
      <c r="Q794" s="1789"/>
      <c r="R794" s="1789"/>
      <c r="S794" s="1789"/>
      <c r="T794" s="1789"/>
      <c r="U794" s="1789"/>
      <c r="V794" s="1789"/>
      <c r="W794" s="1789"/>
      <c r="X794" s="1918"/>
      <c r="Y794" s="1914"/>
      <c r="Z794" s="1913"/>
      <c r="AA794" s="1913"/>
      <c r="AB794" s="1794"/>
      <c r="AC794" s="1954"/>
      <c r="AD794" s="1954"/>
      <c r="AE794" s="1954"/>
      <c r="AF794" s="1954"/>
      <c r="AI794" s="1735" t="str">
        <f>"52:terminal_code:" &amp; IF(I794="■",1,IF(L794="■",2,0))</f>
        <v>52:terminal_code:0</v>
      </c>
    </row>
    <row r="795" spans="1:35" s="1735" customFormat="1" ht="18.75" hidden="1" customHeight="1">
      <c r="A795" s="1766"/>
      <c r="B795" s="1765"/>
      <c r="C795" s="1916"/>
      <c r="D795" s="1915"/>
      <c r="E795" s="1762"/>
      <c r="F795" s="1761"/>
      <c r="G795" s="1762"/>
      <c r="H795" s="1769" t="s">
        <v>786</v>
      </c>
      <c r="I795" s="1758" t="s">
        <v>194</v>
      </c>
      <c r="J795" s="1756" t="s">
        <v>750</v>
      </c>
      <c r="K795" s="1755"/>
      <c r="L795" s="1757" t="s">
        <v>194</v>
      </c>
      <c r="M795" s="1756" t="s">
        <v>764</v>
      </c>
      <c r="N795" s="1789"/>
      <c r="O795" s="1789"/>
      <c r="P795" s="1789"/>
      <c r="Q795" s="1789"/>
      <c r="R795" s="1789"/>
      <c r="S795" s="1789"/>
      <c r="T795" s="1789"/>
      <c r="U795" s="1789"/>
      <c r="V795" s="1789"/>
      <c r="W795" s="1789"/>
      <c r="X795" s="1918"/>
      <c r="Y795" s="1914"/>
      <c r="Z795" s="1913"/>
      <c r="AA795" s="1913"/>
      <c r="AB795" s="1794"/>
      <c r="AC795" s="1954"/>
      <c r="AD795" s="1954"/>
      <c r="AE795" s="1954"/>
      <c r="AF795" s="1954"/>
      <c r="AI795" s="1735" t="str">
        <f>"52:field207:" &amp; IF(I795="■",1,IF(L795="■",2,0))</f>
        <v>52:field207:0</v>
      </c>
    </row>
    <row r="796" spans="1:35" s="1735" customFormat="1" ht="18.75" hidden="1" customHeight="1">
      <c r="A796" s="1766"/>
      <c r="B796" s="1765"/>
      <c r="C796" s="1916"/>
      <c r="D796" s="1915"/>
      <c r="E796" s="1762"/>
      <c r="F796" s="1761"/>
      <c r="G796" s="1762"/>
      <c r="H796" s="1769" t="s">
        <v>787</v>
      </c>
      <c r="I796" s="1758" t="s">
        <v>194</v>
      </c>
      <c r="J796" s="1756" t="s">
        <v>750</v>
      </c>
      <c r="K796" s="1755"/>
      <c r="L796" s="1757" t="s">
        <v>194</v>
      </c>
      <c r="M796" s="1756" t="s">
        <v>764</v>
      </c>
      <c r="N796" s="1789"/>
      <c r="O796" s="1789"/>
      <c r="P796" s="1789"/>
      <c r="Q796" s="1789"/>
      <c r="R796" s="1789"/>
      <c r="S796" s="1789"/>
      <c r="T796" s="1789"/>
      <c r="U796" s="1789"/>
      <c r="V796" s="1789"/>
      <c r="W796" s="1789"/>
      <c r="X796" s="1918"/>
      <c r="Y796" s="1914"/>
      <c r="Z796" s="1913"/>
      <c r="AA796" s="1913"/>
      <c r="AB796" s="1794"/>
      <c r="AC796" s="1954"/>
      <c r="AD796" s="1954"/>
      <c r="AE796" s="1954"/>
      <c r="AF796" s="1954"/>
      <c r="AI796" s="1735" t="str">
        <f>"52:ryouyoushoku_code:" &amp; IF(I796="■",1,IF(L796="■",2,0))</f>
        <v>52:ryouyoushoku_code:0</v>
      </c>
    </row>
    <row r="797" spans="1:35" s="1735" customFormat="1" ht="18.75" hidden="1" customHeight="1">
      <c r="A797" s="1766"/>
      <c r="B797" s="1765"/>
      <c r="C797" s="1916"/>
      <c r="D797" s="1915"/>
      <c r="E797" s="1762"/>
      <c r="F797" s="1761"/>
      <c r="G797" s="1762"/>
      <c r="H797" s="1769" t="s">
        <v>791</v>
      </c>
      <c r="I797" s="1773" t="s">
        <v>194</v>
      </c>
      <c r="J797" s="1754" t="s">
        <v>750</v>
      </c>
      <c r="K797" s="1754"/>
      <c r="L797" s="1772" t="s">
        <v>194</v>
      </c>
      <c r="M797" s="1754" t="s">
        <v>784</v>
      </c>
      <c r="N797" s="1754"/>
      <c r="O797" s="1772" t="s">
        <v>194</v>
      </c>
      <c r="P797" s="1754" t="s">
        <v>785</v>
      </c>
      <c r="Q797" s="1768"/>
      <c r="R797" s="1789"/>
      <c r="S797" s="1789"/>
      <c r="T797" s="1789"/>
      <c r="U797" s="1789"/>
      <c r="V797" s="1789"/>
      <c r="W797" s="1789"/>
      <c r="X797" s="1918"/>
      <c r="Y797" s="1914"/>
      <c r="Z797" s="1913"/>
      <c r="AA797" s="1913"/>
      <c r="AB797" s="1794"/>
      <c r="AC797" s="1954"/>
      <c r="AD797" s="1954"/>
      <c r="AE797" s="1954"/>
      <c r="AF797" s="1954"/>
      <c r="AI797" s="1735" t="str">
        <f>"52:ninti_senmoncare_code:" &amp; IF(I797="■",1,IF(O797="■",3,IF(L797="■",2,0)))</f>
        <v>52:ninti_senmoncare_code:0</v>
      </c>
    </row>
    <row r="798" spans="1:35" s="1735" customFormat="1" ht="18.75" hidden="1" customHeight="1">
      <c r="A798" s="1766"/>
      <c r="B798" s="1765"/>
      <c r="C798" s="1916"/>
      <c r="D798" s="1915"/>
      <c r="E798" s="1762"/>
      <c r="F798" s="1761"/>
      <c r="G798" s="1762"/>
      <c r="H798" s="1769" t="s">
        <v>792</v>
      </c>
      <c r="I798" s="1773" t="s">
        <v>194</v>
      </c>
      <c r="J798" s="1754" t="s">
        <v>750</v>
      </c>
      <c r="K798" s="1754"/>
      <c r="L798" s="1772" t="s">
        <v>194</v>
      </c>
      <c r="M798" s="1754" t="s">
        <v>784</v>
      </c>
      <c r="N798" s="1754"/>
      <c r="O798" s="1772" t="s">
        <v>194</v>
      </c>
      <c r="P798" s="1754" t="s">
        <v>785</v>
      </c>
      <c r="Q798" s="1789"/>
      <c r="R798" s="1789"/>
      <c r="S798" s="1789"/>
      <c r="T798" s="1789"/>
      <c r="U798" s="1789"/>
      <c r="V798" s="1789"/>
      <c r="W798" s="1789"/>
      <c r="X798" s="1918"/>
      <c r="Y798" s="1914"/>
      <c r="Z798" s="1913"/>
      <c r="AA798" s="1913"/>
      <c r="AB798" s="1794"/>
      <c r="AC798" s="1954"/>
      <c r="AD798" s="1954"/>
      <c r="AE798" s="1954"/>
      <c r="AF798" s="1954"/>
      <c r="AI798" s="1735" t="str">
        <f>"52:field228:" &amp; IF(I798="■",1,IF(L798="■",2,IF(O798="■",3,0)))</f>
        <v>52:field228:0</v>
      </c>
    </row>
    <row r="799" spans="1:35" s="1735" customFormat="1" ht="18.75" hidden="1" customHeight="1">
      <c r="A799" s="1766"/>
      <c r="B799" s="1765"/>
      <c r="C799" s="1916"/>
      <c r="D799" s="1915"/>
      <c r="E799" s="1762"/>
      <c r="F799" s="1761"/>
      <c r="G799" s="1762"/>
      <c r="H799" s="1769" t="s">
        <v>1124</v>
      </c>
      <c r="I799" s="1773" t="s">
        <v>194</v>
      </c>
      <c r="J799" s="1754" t="s">
        <v>750</v>
      </c>
      <c r="K799" s="1754"/>
      <c r="L799" s="1772" t="s">
        <v>194</v>
      </c>
      <c r="M799" s="1756" t="s">
        <v>764</v>
      </c>
      <c r="N799" s="1754"/>
      <c r="O799" s="1754"/>
      <c r="P799" s="1754"/>
      <c r="Q799" s="1789"/>
      <c r="R799" s="1789"/>
      <c r="S799" s="1789"/>
      <c r="T799" s="1789"/>
      <c r="U799" s="1789"/>
      <c r="V799" s="1789"/>
      <c r="W799" s="1789"/>
      <c r="X799" s="1918"/>
      <c r="Y799" s="1914"/>
      <c r="Z799" s="1913"/>
      <c r="AA799" s="1913"/>
      <c r="AB799" s="1794"/>
      <c r="AC799" s="1954"/>
      <c r="AD799" s="1954"/>
      <c r="AE799" s="1954"/>
      <c r="AF799" s="1954"/>
      <c r="AI799" s="1735" t="str">
        <f>"52:field226:" &amp; IF(I799="■",1,IF(L799="■",2,0))</f>
        <v>52:field226:0</v>
      </c>
    </row>
    <row r="800" spans="1:35" s="1735" customFormat="1" ht="18.75" hidden="1" customHeight="1">
      <c r="A800" s="1766"/>
      <c r="B800" s="1765"/>
      <c r="C800" s="1916"/>
      <c r="D800" s="1915"/>
      <c r="E800" s="1762"/>
      <c r="F800" s="1761"/>
      <c r="G800" s="1762"/>
      <c r="H800" s="1769" t="s">
        <v>1125</v>
      </c>
      <c r="I800" s="1773" t="s">
        <v>194</v>
      </c>
      <c r="J800" s="1754" t="s">
        <v>750</v>
      </c>
      <c r="K800" s="1754"/>
      <c r="L800" s="1772" t="s">
        <v>194</v>
      </c>
      <c r="M800" s="1756" t="s">
        <v>764</v>
      </c>
      <c r="N800" s="1754"/>
      <c r="O800" s="1754"/>
      <c r="P800" s="1754"/>
      <c r="Q800" s="1789"/>
      <c r="R800" s="1789"/>
      <c r="S800" s="1789"/>
      <c r="T800" s="1789"/>
      <c r="U800" s="1789"/>
      <c r="V800" s="1789"/>
      <c r="W800" s="1789"/>
      <c r="X800" s="1918"/>
      <c r="Y800" s="1914"/>
      <c r="Z800" s="1913"/>
      <c r="AA800" s="1913"/>
      <c r="AB800" s="1794"/>
      <c r="AC800" s="1954"/>
      <c r="AD800" s="1954"/>
      <c r="AE800" s="1954"/>
      <c r="AF800" s="1954"/>
      <c r="AI800" s="1735" t="str">
        <f>"52:field227:" &amp; IF(I800="■",1,IF(L800="■",2,0))</f>
        <v>52:field227:0</v>
      </c>
    </row>
    <row r="801" spans="1:36" s="1735" customFormat="1" ht="18.75" hidden="1" customHeight="1">
      <c r="A801" s="1766"/>
      <c r="B801" s="1765"/>
      <c r="C801" s="1916"/>
      <c r="D801" s="1915"/>
      <c r="E801" s="1762"/>
      <c r="F801" s="1761"/>
      <c r="G801" s="1762"/>
      <c r="H801" s="1917" t="s">
        <v>794</v>
      </c>
      <c r="I801" s="1773" t="s">
        <v>194</v>
      </c>
      <c r="J801" s="1754" t="s">
        <v>750</v>
      </c>
      <c r="K801" s="1754"/>
      <c r="L801" s="1772" t="s">
        <v>194</v>
      </c>
      <c r="M801" s="1754" t="s">
        <v>784</v>
      </c>
      <c r="N801" s="1754"/>
      <c r="O801" s="1772" t="s">
        <v>194</v>
      </c>
      <c r="P801" s="1754" t="s">
        <v>785</v>
      </c>
      <c r="Q801" s="1768"/>
      <c r="R801" s="1768"/>
      <c r="S801" s="1768"/>
      <c r="T801" s="1768"/>
      <c r="U801" s="1829"/>
      <c r="V801" s="1829"/>
      <c r="W801" s="1829"/>
      <c r="X801" s="1828"/>
      <c r="Y801" s="1914"/>
      <c r="Z801" s="1913"/>
      <c r="AA801" s="1913"/>
      <c r="AB801" s="1794"/>
      <c r="AC801" s="1954"/>
      <c r="AD801" s="1954"/>
      <c r="AE801" s="1954"/>
      <c r="AF801" s="1954"/>
      <c r="AI801" s="1735" t="str">
        <f>"52:field225:" &amp; IF(I801="■",1,IF(L801="■",2,IF(O801="■",3,0)))</f>
        <v>52:field225:0</v>
      </c>
    </row>
    <row r="802" spans="1:36" s="1735" customFormat="1" ht="18.75" hidden="1" customHeight="1">
      <c r="A802" s="1766"/>
      <c r="B802" s="1765"/>
      <c r="C802" s="1916"/>
      <c r="D802" s="1915"/>
      <c r="E802" s="1762"/>
      <c r="F802" s="1761"/>
      <c r="G802" s="1762"/>
      <c r="H802" s="1769" t="s">
        <v>795</v>
      </c>
      <c r="I802" s="1773" t="s">
        <v>194</v>
      </c>
      <c r="J802" s="1754" t="s">
        <v>750</v>
      </c>
      <c r="K802" s="1754"/>
      <c r="L802" s="1772" t="s">
        <v>194</v>
      </c>
      <c r="M802" s="1754" t="s">
        <v>796</v>
      </c>
      <c r="N802" s="1754"/>
      <c r="O802" s="1772" t="s">
        <v>194</v>
      </c>
      <c r="P802" s="1754" t="s">
        <v>797</v>
      </c>
      <c r="Q802" s="1771"/>
      <c r="R802" s="1772" t="s">
        <v>194</v>
      </c>
      <c r="S802" s="1754" t="s">
        <v>798</v>
      </c>
      <c r="T802" s="1754"/>
      <c r="U802" s="1754"/>
      <c r="V802" s="1754"/>
      <c r="W802" s="1754"/>
      <c r="X802" s="1753"/>
      <c r="Y802" s="1914"/>
      <c r="Z802" s="1913"/>
      <c r="AA802" s="1913"/>
      <c r="AB802" s="1794"/>
      <c r="AC802" s="1954"/>
      <c r="AD802" s="1954"/>
      <c r="AE802" s="1954"/>
      <c r="AF802" s="1954"/>
      <c r="AI802" s="1735" t="str">
        <f>"52:serteikyo_kyoka_code:" &amp; IF(I802="■",1,IF(L802="■",6,IF(O802="■",5,IF(R802="■",7,0))))</f>
        <v>52:serteikyo_kyoka_code:0</v>
      </c>
    </row>
    <row r="803" spans="1:36" s="1735" customFormat="1" ht="18.75" hidden="1" customHeight="1">
      <c r="A803" s="1766"/>
      <c r="B803" s="1765"/>
      <c r="C803" s="1764"/>
      <c r="D803" s="1763"/>
      <c r="E803" s="1762"/>
      <c r="F803" s="1761"/>
      <c r="G803" s="1793"/>
      <c r="H803" s="1952" t="s">
        <v>1553</v>
      </c>
      <c r="I803" s="1924" t="s">
        <v>194</v>
      </c>
      <c r="J803" s="1948" t="s">
        <v>750</v>
      </c>
      <c r="K803" s="1948"/>
      <c r="L803" s="1922" t="s">
        <v>194</v>
      </c>
      <c r="M803" s="1948" t="s">
        <v>1552</v>
      </c>
      <c r="N803" s="1951"/>
      <c r="O803" s="1922" t="s">
        <v>194</v>
      </c>
      <c r="P803" s="1950" t="s">
        <v>1551</v>
      </c>
      <c r="Q803" s="1949"/>
      <c r="R803" s="1922" t="s">
        <v>194</v>
      </c>
      <c r="S803" s="1948" t="s">
        <v>1550</v>
      </c>
      <c r="T803" s="1949"/>
      <c r="U803" s="1922" t="s">
        <v>194</v>
      </c>
      <c r="V803" s="1948" t="s">
        <v>1549</v>
      </c>
      <c r="W803" s="1947"/>
      <c r="X803" s="1946"/>
      <c r="Y803" s="1913"/>
      <c r="Z803" s="1913"/>
      <c r="AA803" s="1913"/>
      <c r="AB803" s="1794"/>
      <c r="AC803" s="1954"/>
      <c r="AD803" s="1954"/>
      <c r="AE803" s="1954"/>
      <c r="AF803" s="1954"/>
      <c r="AI803" s="1735" t="str">
        <f>"52:shoguukaizen_code:"&amp;IF(I803="■",1,IF(L803="■",7,IF(O803="■",8,IF(R803="■",9,IF(U803="■","A",0)))))</f>
        <v>52:shoguukaizen_code:0</v>
      </c>
    </row>
    <row r="804" spans="1:36" s="1735" customFormat="1" ht="18.75" hidden="1" customHeight="1">
      <c r="A804" s="1807"/>
      <c r="B804" s="1806"/>
      <c r="C804" s="1934"/>
      <c r="D804" s="1933"/>
      <c r="E804" s="1804"/>
      <c r="F804" s="1803"/>
      <c r="G804" s="1804"/>
      <c r="H804" s="1801" t="s">
        <v>746</v>
      </c>
      <c r="I804" s="1800" t="s">
        <v>194</v>
      </c>
      <c r="J804" s="1799" t="s">
        <v>747</v>
      </c>
      <c r="K804" s="1846"/>
      <c r="L804" s="1845"/>
      <c r="M804" s="1798" t="s">
        <v>194</v>
      </c>
      <c r="N804" s="1799" t="s">
        <v>748</v>
      </c>
      <c r="O804" s="1796"/>
      <c r="P804" s="1796"/>
      <c r="Q804" s="1796"/>
      <c r="R804" s="1796"/>
      <c r="S804" s="1796"/>
      <c r="T804" s="1796"/>
      <c r="U804" s="1796"/>
      <c r="V804" s="1796"/>
      <c r="W804" s="1796"/>
      <c r="X804" s="1795"/>
      <c r="Y804" s="1873" t="s">
        <v>194</v>
      </c>
      <c r="Z804" s="1872" t="s">
        <v>749</v>
      </c>
      <c r="AA804" s="1872"/>
      <c r="AB804" s="1929"/>
      <c r="AC804" s="1959"/>
      <c r="AD804" s="1959"/>
      <c r="AE804" s="1959"/>
      <c r="AF804" s="1959"/>
      <c r="AG804" s="1735" t="str">
        <f>"ser_code = '" &amp; IF(A815="■",52,"") &amp; "'"</f>
        <v>ser_code = ''</v>
      </c>
      <c r="AI804" s="1735" t="str">
        <f>"52:yakan_kinmu_code:" &amp; IF(I804="■",1,IF(M804="■",6,0))</f>
        <v>52:yakan_kinmu_code:0</v>
      </c>
      <c r="AJ804" s="1735" t="str">
        <f>"52:field203:" &amp; IF(Y804="■",1,IF(Y805="■",2,0))</f>
        <v>52:field203:0</v>
      </c>
    </row>
    <row r="805" spans="1:36" s="1735" customFormat="1" ht="18.75" hidden="1" customHeight="1">
      <c r="A805" s="1766"/>
      <c r="B805" s="1765"/>
      <c r="C805" s="1916"/>
      <c r="D805" s="1915"/>
      <c r="E805" s="1762"/>
      <c r="F805" s="1761"/>
      <c r="G805" s="1762"/>
      <c r="H805" s="1925" t="s">
        <v>98</v>
      </c>
      <c r="I805" s="1924" t="s">
        <v>194</v>
      </c>
      <c r="J805" s="1923" t="s">
        <v>750</v>
      </c>
      <c r="K805" s="1923"/>
      <c r="L805" s="1785"/>
      <c r="M805" s="1922" t="s">
        <v>194</v>
      </c>
      <c r="N805" s="1923" t="s">
        <v>1568</v>
      </c>
      <c r="O805" s="1923"/>
      <c r="P805" s="1785"/>
      <c r="Q805" s="1922" t="s">
        <v>194</v>
      </c>
      <c r="R805" s="1785" t="s">
        <v>1615</v>
      </c>
      <c r="S805" s="1785"/>
      <c r="T805" s="1785"/>
      <c r="U805" s="1922" t="s">
        <v>194</v>
      </c>
      <c r="V805" s="1785" t="s">
        <v>1614</v>
      </c>
      <c r="W805" s="1785"/>
      <c r="X805" s="1784"/>
      <c r="Y805" s="1776" t="s">
        <v>194</v>
      </c>
      <c r="Z805" s="1738" t="s">
        <v>754</v>
      </c>
      <c r="AA805" s="1913"/>
      <c r="AB805" s="1794"/>
      <c r="AC805" s="1954"/>
      <c r="AD805" s="1954"/>
      <c r="AE805" s="1954"/>
      <c r="AF805" s="1954"/>
      <c r="AG805" s="1735" t="str">
        <f>"52:sisetukbn_code:" &amp; IF(D815="■","A",0)</f>
        <v>52:sisetukbn_code:0</v>
      </c>
      <c r="AI805" s="1735" t="str">
        <f>"52:"&amp;IF(AND(I805="□",M805="□",Q805="□",U805="□",I806="□",M806="□",Q806="□",I807="□"),"ketu_doctor_code:0",IF(I805="■","ketu_doctor_code:1:ketu_kangos_code:1:ketu_kshoku_code:1:ketu_rryoho_code:1:ketu_sryoho_code:1:ketu_ksiensou_code:1:ketu_gengo_code:1",IF(M805="■","ketu_doctor_code:2","ketu_doctor_code:1")
&amp;IF(Q805="■",":ketu_kangos_code:2",":ketu_kangos_code:1")
&amp;IF(U805="■",":ketu_kshoku_code:2",":ketu_kshoku_code:1")
&amp;IF(I806="■",":ketu_rryoho_code:2",":ketu_rryoho_code:1")
&amp;IF(M806="■",":ketu_sryoho_code:2",":ketu_sryoho_code:1")
&amp;IF(Q806="■",":ketu_ksiensou_code:2",":ketu_ksiensou_code:1")
&amp;IF(I807="■",":ketu_gengo_code:2",":ketu_gengo_code:1")))</f>
        <v>52:ketu_doctor_code:0</v>
      </c>
    </row>
    <row r="806" spans="1:36" s="1735" customFormat="1" ht="18.75" hidden="1" customHeight="1">
      <c r="A806" s="1766"/>
      <c r="B806" s="1765"/>
      <c r="C806" s="1916"/>
      <c r="D806" s="1915"/>
      <c r="E806" s="1762"/>
      <c r="F806" s="1761"/>
      <c r="G806" s="1762"/>
      <c r="H806" s="1958"/>
      <c r="I806" s="1776" t="s">
        <v>194</v>
      </c>
      <c r="J806" s="1738" t="s">
        <v>1613</v>
      </c>
      <c r="K806" s="1738"/>
      <c r="L806" s="1734"/>
      <c r="M806" s="1878" t="s">
        <v>194</v>
      </c>
      <c r="N806" s="1738" t="s">
        <v>1612</v>
      </c>
      <c r="O806" s="1738"/>
      <c r="P806" s="1734"/>
      <c r="Q806" s="1878" t="s">
        <v>194</v>
      </c>
      <c r="R806" s="1734" t="s">
        <v>1611</v>
      </c>
      <c r="S806" s="1734"/>
      <c r="T806" s="1734"/>
      <c r="U806" s="1734"/>
      <c r="V806" s="1734"/>
      <c r="W806" s="1734"/>
      <c r="X806" s="1957"/>
      <c r="Y806" s="1914"/>
      <c r="Z806" s="1913"/>
      <c r="AA806" s="1913"/>
      <c r="AB806" s="1794"/>
      <c r="AC806" s="1954"/>
      <c r="AD806" s="1954"/>
      <c r="AE806" s="1954"/>
      <c r="AF806" s="1954"/>
    </row>
    <row r="807" spans="1:36" s="1735" customFormat="1" ht="18.75" hidden="1" customHeight="1">
      <c r="A807" s="1766"/>
      <c r="B807" s="1765"/>
      <c r="C807" s="1916"/>
      <c r="D807" s="1915"/>
      <c r="E807" s="1762"/>
      <c r="F807" s="1761"/>
      <c r="G807" s="1762"/>
      <c r="H807" s="1921"/>
      <c r="I807" s="1758" t="s">
        <v>194</v>
      </c>
      <c r="J807" s="1756" t="s">
        <v>1610</v>
      </c>
      <c r="K807" s="1756"/>
      <c r="L807" s="1780"/>
      <c r="M807" s="1757"/>
      <c r="N807" s="1756"/>
      <c r="O807" s="1756"/>
      <c r="P807" s="1780"/>
      <c r="Q807" s="1780"/>
      <c r="R807" s="1780"/>
      <c r="S807" s="1780"/>
      <c r="T807" s="1780"/>
      <c r="U807" s="1780"/>
      <c r="V807" s="1780"/>
      <c r="W807" s="1780"/>
      <c r="X807" s="1779"/>
      <c r="Y807" s="1914"/>
      <c r="Z807" s="1913"/>
      <c r="AA807" s="1913"/>
      <c r="AB807" s="1794"/>
      <c r="AC807" s="1954"/>
      <c r="AD807" s="1954"/>
      <c r="AE807" s="1954"/>
      <c r="AF807" s="1954"/>
    </row>
    <row r="808" spans="1:36" s="1735" customFormat="1" ht="18.75" hidden="1" customHeight="1">
      <c r="A808" s="1766"/>
      <c r="B808" s="1765"/>
      <c r="C808" s="1916"/>
      <c r="D808" s="1915"/>
      <c r="E808" s="1762"/>
      <c r="F808" s="1761"/>
      <c r="G808" s="1762"/>
      <c r="H808" s="1769" t="s">
        <v>99</v>
      </c>
      <c r="I808" s="1773" t="s">
        <v>194</v>
      </c>
      <c r="J808" s="1754" t="s">
        <v>755</v>
      </c>
      <c r="K808" s="1789"/>
      <c r="L808" s="1791"/>
      <c r="M808" s="1772" t="s">
        <v>194</v>
      </c>
      <c r="N808" s="1754" t="s">
        <v>756</v>
      </c>
      <c r="O808" s="1789"/>
      <c r="P808" s="1789"/>
      <c r="Q808" s="1789"/>
      <c r="R808" s="1789"/>
      <c r="S808" s="1789"/>
      <c r="T808" s="1789"/>
      <c r="U808" s="1789"/>
      <c r="V808" s="1789"/>
      <c r="W808" s="1789"/>
      <c r="X808" s="1918"/>
      <c r="Y808" s="1914"/>
      <c r="Z808" s="1913"/>
      <c r="AA808" s="1913"/>
      <c r="AB808" s="1794"/>
      <c r="AC808" s="1954"/>
      <c r="AD808" s="1954"/>
      <c r="AE808" s="1954"/>
      <c r="AF808" s="1954"/>
      <c r="AI808" s="1735" t="str">
        <f>"52:unitcare_code:" &amp; IF(I808="■",1,IF(M808="■",2,0))</f>
        <v>52:unitcare_code:0</v>
      </c>
    </row>
    <row r="809" spans="1:36" s="1735" customFormat="1" ht="18.75" hidden="1" customHeight="1">
      <c r="A809" s="1766"/>
      <c r="B809" s="1765"/>
      <c r="C809" s="1916"/>
      <c r="D809" s="1915"/>
      <c r="E809" s="1762"/>
      <c r="F809" s="1761"/>
      <c r="G809" s="1762"/>
      <c r="H809" s="1769" t="s">
        <v>757</v>
      </c>
      <c r="I809" s="1773" t="s">
        <v>194</v>
      </c>
      <c r="J809" s="1754" t="s">
        <v>758</v>
      </c>
      <c r="K809" s="1789"/>
      <c r="L809" s="1791"/>
      <c r="M809" s="1772" t="s">
        <v>194</v>
      </c>
      <c r="N809" s="1754" t="s">
        <v>759</v>
      </c>
      <c r="O809" s="1789"/>
      <c r="P809" s="1789"/>
      <c r="Q809" s="1789"/>
      <c r="R809" s="1789"/>
      <c r="S809" s="1789"/>
      <c r="T809" s="1789"/>
      <c r="U809" s="1789"/>
      <c r="V809" s="1789"/>
      <c r="W809" s="1789"/>
      <c r="X809" s="1918"/>
      <c r="Y809" s="1914"/>
      <c r="Z809" s="1913"/>
      <c r="AA809" s="1913"/>
      <c r="AB809" s="1794"/>
      <c r="AC809" s="1954"/>
      <c r="AD809" s="1954"/>
      <c r="AE809" s="1954"/>
      <c r="AF809" s="1954"/>
      <c r="AI809" s="1735" t="str">
        <f>"52:sintaikousoku_code:" &amp; IF(I809="■",1,IF(M809="■",2,0))</f>
        <v>52:sintaikousoku_code:0</v>
      </c>
    </row>
    <row r="810" spans="1:36" s="1735" customFormat="1" ht="18.75" hidden="1" customHeight="1">
      <c r="A810" s="1766"/>
      <c r="B810" s="1765"/>
      <c r="C810" s="1916"/>
      <c r="D810" s="1915"/>
      <c r="E810" s="1762"/>
      <c r="F810" s="1761"/>
      <c r="G810" s="1762"/>
      <c r="H810" s="1769" t="s">
        <v>448</v>
      </c>
      <c r="I810" s="1773" t="s">
        <v>194</v>
      </c>
      <c r="J810" s="1754" t="s">
        <v>758</v>
      </c>
      <c r="K810" s="1789"/>
      <c r="L810" s="1791"/>
      <c r="M810" s="1772" t="s">
        <v>194</v>
      </c>
      <c r="N810" s="1754" t="s">
        <v>759</v>
      </c>
      <c r="O810" s="1789"/>
      <c r="P810" s="1789"/>
      <c r="Q810" s="1789"/>
      <c r="R810" s="1789"/>
      <c r="S810" s="1789"/>
      <c r="T810" s="1789"/>
      <c r="U810" s="1789"/>
      <c r="V810" s="1789"/>
      <c r="W810" s="1789"/>
      <c r="X810" s="1918"/>
      <c r="Y810" s="1914"/>
      <c r="Z810" s="1913"/>
      <c r="AA810" s="1913"/>
      <c r="AB810" s="1794"/>
      <c r="AC810" s="1954"/>
      <c r="AD810" s="1954"/>
      <c r="AE810" s="1954"/>
      <c r="AF810" s="1954"/>
      <c r="AI810" s="1735" t="str">
        <f>"52:field208:" &amp; IF(I810="■",1,IF(M810="■",2,0))</f>
        <v>52:field208:0</v>
      </c>
    </row>
    <row r="811" spans="1:36" s="1735" customFormat="1" ht="19.5" hidden="1" customHeight="1">
      <c r="A811" s="1766"/>
      <c r="B811" s="1765"/>
      <c r="C811" s="1764"/>
      <c r="D811" s="1763"/>
      <c r="E811" s="1762"/>
      <c r="F811" s="1761"/>
      <c r="G811" s="1793"/>
      <c r="H811" s="1792" t="s">
        <v>760</v>
      </c>
      <c r="I811" s="1773" t="s">
        <v>194</v>
      </c>
      <c r="J811" s="1754" t="s">
        <v>758</v>
      </c>
      <c r="K811" s="1789"/>
      <c r="L811" s="1791"/>
      <c r="M811" s="1772" t="s">
        <v>194</v>
      </c>
      <c r="N811" s="1754" t="s">
        <v>761</v>
      </c>
      <c r="O811" s="1920"/>
      <c r="P811" s="1754"/>
      <c r="Q811" s="1768"/>
      <c r="R811" s="1768"/>
      <c r="S811" s="1768"/>
      <c r="T811" s="1768"/>
      <c r="U811" s="1768"/>
      <c r="V811" s="1768"/>
      <c r="W811" s="1768"/>
      <c r="X811" s="1767"/>
      <c r="Y811" s="1913"/>
      <c r="Z811" s="1913"/>
      <c r="AA811" s="1913"/>
      <c r="AB811" s="1794"/>
      <c r="AC811" s="1954"/>
      <c r="AD811" s="1954"/>
      <c r="AE811" s="1954"/>
      <c r="AF811" s="1954"/>
      <c r="AI811" s="1735" t="str">
        <f>"52:field223:" &amp; IF(I811="■",1,IF(M811="■",2,0))</f>
        <v>52:field223:0</v>
      </c>
    </row>
    <row r="812" spans="1:36" s="1735" customFormat="1" ht="19.5" hidden="1" customHeight="1">
      <c r="A812" s="1766"/>
      <c r="B812" s="1765"/>
      <c r="C812" s="1764"/>
      <c r="D812" s="1763"/>
      <c r="E812" s="1762"/>
      <c r="F812" s="1761"/>
      <c r="G812" s="1793"/>
      <c r="H812" s="1792" t="s">
        <v>762</v>
      </c>
      <c r="I812" s="1773" t="s">
        <v>194</v>
      </c>
      <c r="J812" s="1754" t="s">
        <v>758</v>
      </c>
      <c r="K812" s="1789"/>
      <c r="L812" s="1791"/>
      <c r="M812" s="1772" t="s">
        <v>194</v>
      </c>
      <c r="N812" s="1754" t="s">
        <v>761</v>
      </c>
      <c r="O812" s="1920"/>
      <c r="P812" s="1754"/>
      <c r="Q812" s="1768"/>
      <c r="R812" s="1768"/>
      <c r="S812" s="1768"/>
      <c r="T812" s="1768"/>
      <c r="U812" s="1768"/>
      <c r="V812" s="1768"/>
      <c r="W812" s="1768"/>
      <c r="X812" s="1767"/>
      <c r="Y812" s="1913"/>
      <c r="Z812" s="1913"/>
      <c r="AA812" s="1913"/>
      <c r="AB812" s="1794"/>
      <c r="AC812" s="1954"/>
      <c r="AD812" s="1954"/>
      <c r="AE812" s="1954"/>
      <c r="AF812" s="1954"/>
      <c r="AI812" s="1735" t="str">
        <f>"52:field232:" &amp; IF(I812="■",1,IF(M812="■",2,0))</f>
        <v>52:field232:0</v>
      </c>
    </row>
    <row r="813" spans="1:36" s="1735" customFormat="1" ht="18.75" hidden="1" customHeight="1">
      <c r="A813" s="1766"/>
      <c r="B813" s="1765"/>
      <c r="C813" s="1916"/>
      <c r="D813" s="1915"/>
      <c r="E813" s="1762"/>
      <c r="F813" s="1761"/>
      <c r="G813" s="1762"/>
      <c r="H813" s="1788" t="s">
        <v>763</v>
      </c>
      <c r="I813" s="1868" t="s">
        <v>194</v>
      </c>
      <c r="J813" s="1830" t="s">
        <v>750</v>
      </c>
      <c r="K813" s="1830"/>
      <c r="L813" s="1919" t="s">
        <v>194</v>
      </c>
      <c r="M813" s="1830" t="s">
        <v>764</v>
      </c>
      <c r="N813" s="1830"/>
      <c r="O813" s="1923"/>
      <c r="P813" s="1923"/>
      <c r="Q813" s="1923"/>
      <c r="R813" s="1923"/>
      <c r="S813" s="1923"/>
      <c r="T813" s="1923"/>
      <c r="U813" s="1923"/>
      <c r="V813" s="1923"/>
      <c r="W813" s="1923"/>
      <c r="X813" s="1956"/>
      <c r="Y813" s="1914"/>
      <c r="Z813" s="1913"/>
      <c r="AA813" s="1913"/>
      <c r="AB813" s="1794"/>
      <c r="AC813" s="1954"/>
      <c r="AD813" s="1954"/>
      <c r="AE813" s="1954"/>
      <c r="AF813" s="1954"/>
      <c r="AI813" s="1735" t="str">
        <f>"52:field206:" &amp; IF(I813="■",1,IF(L813="■",2,0))</f>
        <v>52:field206:0</v>
      </c>
    </row>
    <row r="814" spans="1:36" s="1735" customFormat="1" ht="18.75" hidden="1" customHeight="1">
      <c r="A814" s="1766"/>
      <c r="B814" s="1765"/>
      <c r="C814" s="1916"/>
      <c r="D814" s="1915"/>
      <c r="E814" s="1762"/>
      <c r="F814" s="1761"/>
      <c r="G814" s="1762"/>
      <c r="H814" s="1783"/>
      <c r="I814" s="1819"/>
      <c r="J814" s="1781"/>
      <c r="K814" s="1781"/>
      <c r="L814" s="1818"/>
      <c r="M814" s="1781"/>
      <c r="N814" s="1781"/>
      <c r="O814" s="1756"/>
      <c r="P814" s="1756"/>
      <c r="Q814" s="1756"/>
      <c r="R814" s="1756"/>
      <c r="S814" s="1756"/>
      <c r="T814" s="1756"/>
      <c r="U814" s="1756"/>
      <c r="V814" s="1756"/>
      <c r="W814" s="1756"/>
      <c r="X814" s="1814"/>
      <c r="Y814" s="1914"/>
      <c r="Z814" s="1913"/>
      <c r="AA814" s="1913"/>
      <c r="AB814" s="1794"/>
      <c r="AC814" s="1954"/>
      <c r="AD814" s="1954"/>
      <c r="AE814" s="1954"/>
      <c r="AF814" s="1954"/>
    </row>
    <row r="815" spans="1:36" s="1735" customFormat="1" ht="18.75" hidden="1" customHeight="1">
      <c r="A815" s="1776" t="s">
        <v>194</v>
      </c>
      <c r="B815" s="1765">
        <v>52</v>
      </c>
      <c r="C815" s="1916" t="s">
        <v>1609</v>
      </c>
      <c r="D815" s="1776" t="s">
        <v>194</v>
      </c>
      <c r="E815" s="1762" t="s">
        <v>1608</v>
      </c>
      <c r="F815" s="1761"/>
      <c r="G815" s="1762"/>
      <c r="H815" s="1769" t="s">
        <v>768</v>
      </c>
      <c r="I815" s="1758" t="s">
        <v>194</v>
      </c>
      <c r="J815" s="1756" t="s">
        <v>750</v>
      </c>
      <c r="K815" s="1755"/>
      <c r="L815" s="1757" t="s">
        <v>194</v>
      </c>
      <c r="M815" s="1756" t="s">
        <v>764</v>
      </c>
      <c r="N815" s="1789"/>
      <c r="O815" s="1789"/>
      <c r="P815" s="1789"/>
      <c r="Q815" s="1789"/>
      <c r="R815" s="1789"/>
      <c r="S815" s="1789"/>
      <c r="T815" s="1789"/>
      <c r="U815" s="1789"/>
      <c r="V815" s="1789"/>
      <c r="W815" s="1789"/>
      <c r="X815" s="1918"/>
      <c r="Y815" s="1914"/>
      <c r="Z815" s="1913"/>
      <c r="AA815" s="1913"/>
      <c r="AB815" s="1794"/>
      <c r="AC815" s="1954"/>
      <c r="AD815" s="1954"/>
      <c r="AE815" s="1954"/>
      <c r="AF815" s="1954"/>
      <c r="AI815" s="1735" t="str">
        <f>"52:yakinhaiti_code:" &amp; IF(I815="■",1,IF(L815="■",2,0))</f>
        <v>52:yakinhaiti_code:0</v>
      </c>
    </row>
    <row r="816" spans="1:36" s="1735" customFormat="1" ht="18.75" hidden="1" customHeight="1">
      <c r="A816" s="1766"/>
      <c r="B816" s="1765"/>
      <c r="C816" s="1916"/>
      <c r="D816" s="1915"/>
      <c r="E816" s="1762"/>
      <c r="F816" s="1761"/>
      <c r="G816" s="1762"/>
      <c r="H816" s="1769" t="s">
        <v>1607</v>
      </c>
      <c r="I816" s="1758" t="s">
        <v>194</v>
      </c>
      <c r="J816" s="1756" t="s">
        <v>750</v>
      </c>
      <c r="K816" s="1755"/>
      <c r="L816" s="1757" t="s">
        <v>194</v>
      </c>
      <c r="M816" s="1756" t="s">
        <v>764</v>
      </c>
      <c r="N816" s="1789"/>
      <c r="O816" s="1789"/>
      <c r="P816" s="1789"/>
      <c r="Q816" s="1789"/>
      <c r="R816" s="1789"/>
      <c r="S816" s="1789"/>
      <c r="T816" s="1789"/>
      <c r="U816" s="1789"/>
      <c r="V816" s="1789"/>
      <c r="W816" s="1789"/>
      <c r="X816" s="1918"/>
      <c r="Y816" s="1914"/>
      <c r="Z816" s="1913"/>
      <c r="AA816" s="1913"/>
      <c r="AB816" s="1794"/>
      <c r="AC816" s="1954"/>
      <c r="AD816" s="1954"/>
      <c r="AE816" s="1954"/>
      <c r="AF816" s="1954"/>
      <c r="AI816" s="1735" t="str">
        <f>"52:ninticare_code:" &amp; IF(I816="■",1,IF(L816="■",2,0))</f>
        <v>52:ninticare_code:0</v>
      </c>
    </row>
    <row r="817" spans="1:36" s="1735" customFormat="1" ht="18.75" hidden="1" customHeight="1">
      <c r="A817" s="1766"/>
      <c r="B817" s="1765"/>
      <c r="C817" s="1916"/>
      <c r="D817" s="1915"/>
      <c r="E817" s="1762"/>
      <c r="F817" s="1761"/>
      <c r="G817" s="1762"/>
      <c r="H817" s="1955" t="s">
        <v>782</v>
      </c>
      <c r="I817" s="1758" t="s">
        <v>194</v>
      </c>
      <c r="J817" s="1756" t="s">
        <v>750</v>
      </c>
      <c r="K817" s="1755"/>
      <c r="L817" s="1757" t="s">
        <v>194</v>
      </c>
      <c r="M817" s="1756" t="s">
        <v>764</v>
      </c>
      <c r="N817" s="1789"/>
      <c r="O817" s="1789"/>
      <c r="P817" s="1789"/>
      <c r="Q817" s="1789"/>
      <c r="R817" s="1789"/>
      <c r="S817" s="1789"/>
      <c r="T817" s="1789"/>
      <c r="U817" s="1789"/>
      <c r="V817" s="1789"/>
      <c r="W817" s="1789"/>
      <c r="X817" s="1918"/>
      <c r="Y817" s="1914"/>
      <c r="Z817" s="1913"/>
      <c r="AA817" s="1913"/>
      <c r="AB817" s="1794"/>
      <c r="AC817" s="1954"/>
      <c r="AD817" s="1954"/>
      <c r="AE817" s="1954"/>
      <c r="AF817" s="1954"/>
      <c r="AI817" s="1735" t="str">
        <f>"52:jyakuninti_uke_code:" &amp; IF(I817="■",1,IF(L817="■",2,0))</f>
        <v>52:jyakuninti_uke_code:0</v>
      </c>
    </row>
    <row r="818" spans="1:36" s="1735" customFormat="1" ht="18.75" hidden="1" customHeight="1">
      <c r="A818" s="1766"/>
      <c r="B818" s="1765"/>
      <c r="C818" s="1916"/>
      <c r="D818" s="1915"/>
      <c r="E818" s="1762"/>
      <c r="F818" s="1761"/>
      <c r="G818" s="1762"/>
      <c r="H818" s="1769" t="s">
        <v>1606</v>
      </c>
      <c r="I818" s="1758" t="s">
        <v>194</v>
      </c>
      <c r="J818" s="1756" t="s">
        <v>750</v>
      </c>
      <c r="K818" s="1755"/>
      <c r="L818" s="1757" t="s">
        <v>194</v>
      </c>
      <c r="M818" s="1756" t="s">
        <v>764</v>
      </c>
      <c r="N818" s="1789"/>
      <c r="O818" s="1789"/>
      <c r="P818" s="1789"/>
      <c r="Q818" s="1789"/>
      <c r="R818" s="1789"/>
      <c r="S818" s="1789"/>
      <c r="T818" s="1789"/>
      <c r="U818" s="1789"/>
      <c r="V818" s="1789"/>
      <c r="W818" s="1789"/>
      <c r="X818" s="1918"/>
      <c r="Y818" s="1914"/>
      <c r="Z818" s="1913"/>
      <c r="AA818" s="1913"/>
      <c r="AB818" s="1794"/>
      <c r="AC818" s="1954"/>
      <c r="AD818" s="1954"/>
      <c r="AE818" s="1954"/>
      <c r="AF818" s="1954"/>
      <c r="AI818" s="1735" t="str">
        <f>"52:terminal_code:" &amp; IF(I818="■",1,IF(L818="■",2,0))</f>
        <v>52:terminal_code:0</v>
      </c>
    </row>
    <row r="819" spans="1:36" s="1735" customFormat="1" ht="18.75" hidden="1" customHeight="1">
      <c r="A819" s="1766"/>
      <c r="B819" s="1765"/>
      <c r="C819" s="1916"/>
      <c r="D819" s="1915"/>
      <c r="E819" s="1762"/>
      <c r="F819" s="1761"/>
      <c r="G819" s="1762"/>
      <c r="H819" s="1769" t="s">
        <v>786</v>
      </c>
      <c r="I819" s="1758" t="s">
        <v>194</v>
      </c>
      <c r="J819" s="1756" t="s">
        <v>750</v>
      </c>
      <c r="K819" s="1755"/>
      <c r="L819" s="1757" t="s">
        <v>194</v>
      </c>
      <c r="M819" s="1756" t="s">
        <v>764</v>
      </c>
      <c r="N819" s="1789"/>
      <c r="O819" s="1789"/>
      <c r="P819" s="1789"/>
      <c r="Q819" s="1789"/>
      <c r="R819" s="1789"/>
      <c r="S819" s="1789"/>
      <c r="T819" s="1789"/>
      <c r="U819" s="1789"/>
      <c r="V819" s="1789"/>
      <c r="W819" s="1789"/>
      <c r="X819" s="1918"/>
      <c r="Y819" s="1914"/>
      <c r="Z819" s="1913"/>
      <c r="AA819" s="1913"/>
      <c r="AB819" s="1794"/>
      <c r="AC819" s="1954"/>
      <c r="AD819" s="1954"/>
      <c r="AE819" s="1954"/>
      <c r="AF819" s="1954"/>
      <c r="AI819" s="1735" t="str">
        <f>"52:field207:" &amp; IF(I819="■",1,IF(L819="■",2,0))</f>
        <v>52:field207:0</v>
      </c>
    </row>
    <row r="820" spans="1:36" s="1735" customFormat="1" ht="18.75" hidden="1" customHeight="1">
      <c r="A820" s="1766"/>
      <c r="B820" s="1765"/>
      <c r="C820" s="1916"/>
      <c r="D820" s="1915"/>
      <c r="E820" s="1762"/>
      <c r="F820" s="1761"/>
      <c r="G820" s="1762"/>
      <c r="H820" s="1769" t="s">
        <v>787</v>
      </c>
      <c r="I820" s="1758" t="s">
        <v>194</v>
      </c>
      <c r="J820" s="1756" t="s">
        <v>750</v>
      </c>
      <c r="K820" s="1755"/>
      <c r="L820" s="1757" t="s">
        <v>194</v>
      </c>
      <c r="M820" s="1756" t="s">
        <v>764</v>
      </c>
      <c r="N820" s="1789"/>
      <c r="O820" s="1789"/>
      <c r="P820" s="1789"/>
      <c r="Q820" s="1789"/>
      <c r="R820" s="1789"/>
      <c r="S820" s="1789"/>
      <c r="T820" s="1789"/>
      <c r="U820" s="1789"/>
      <c r="V820" s="1789"/>
      <c r="W820" s="1789"/>
      <c r="X820" s="1918"/>
      <c r="Y820" s="1914"/>
      <c r="Z820" s="1913"/>
      <c r="AA820" s="1913"/>
      <c r="AB820" s="1794"/>
      <c r="AC820" s="1954"/>
      <c r="AD820" s="1954"/>
      <c r="AE820" s="1954"/>
      <c r="AF820" s="1954"/>
      <c r="AI820" s="1735" t="str">
        <f>"52:ryouyoushoku_code:" &amp; IF(I820="■",1,IF(L820="■",2,0))</f>
        <v>52:ryouyoushoku_code:0</v>
      </c>
    </row>
    <row r="821" spans="1:36" s="1735" customFormat="1" ht="18.75" hidden="1" customHeight="1">
      <c r="A821" s="1766"/>
      <c r="B821" s="1765"/>
      <c r="C821" s="1916"/>
      <c r="D821" s="1915"/>
      <c r="E821" s="1762"/>
      <c r="F821" s="1761"/>
      <c r="G821" s="1762"/>
      <c r="H821" s="1769" t="s">
        <v>791</v>
      </c>
      <c r="I821" s="1773" t="s">
        <v>194</v>
      </c>
      <c r="J821" s="1754" t="s">
        <v>750</v>
      </c>
      <c r="K821" s="1754"/>
      <c r="L821" s="1772" t="s">
        <v>194</v>
      </c>
      <c r="M821" s="1754" t="s">
        <v>784</v>
      </c>
      <c r="N821" s="1754"/>
      <c r="O821" s="1772" t="s">
        <v>194</v>
      </c>
      <c r="P821" s="1754" t="s">
        <v>785</v>
      </c>
      <c r="Q821" s="1768"/>
      <c r="R821" s="1789"/>
      <c r="S821" s="1789"/>
      <c r="T821" s="1789"/>
      <c r="U821" s="1789"/>
      <c r="V821" s="1789"/>
      <c r="W821" s="1789"/>
      <c r="X821" s="1918"/>
      <c r="Y821" s="1914"/>
      <c r="Z821" s="1913"/>
      <c r="AA821" s="1913"/>
      <c r="AB821" s="1794"/>
      <c r="AC821" s="1954"/>
      <c r="AD821" s="1954"/>
      <c r="AE821" s="1954"/>
      <c r="AF821" s="1954"/>
      <c r="AI821" s="1735" t="str">
        <f>"52:ninti_senmoncare_code:" &amp; IF(I821="■",1,IF(O821="■",3,IF(L821="■",2,0)))</f>
        <v>52:ninti_senmoncare_code:0</v>
      </c>
    </row>
    <row r="822" spans="1:36" s="1735" customFormat="1" ht="18.75" hidden="1" customHeight="1">
      <c r="A822" s="1766"/>
      <c r="B822" s="1765"/>
      <c r="C822" s="1916"/>
      <c r="D822" s="1915"/>
      <c r="E822" s="1762"/>
      <c r="F822" s="1761"/>
      <c r="G822" s="1762"/>
      <c r="H822" s="1769" t="s">
        <v>792</v>
      </c>
      <c r="I822" s="1773" t="s">
        <v>194</v>
      </c>
      <c r="J822" s="1754" t="s">
        <v>750</v>
      </c>
      <c r="K822" s="1754"/>
      <c r="L822" s="1772" t="s">
        <v>194</v>
      </c>
      <c r="M822" s="1754" t="s">
        <v>784</v>
      </c>
      <c r="N822" s="1754"/>
      <c r="O822" s="1772" t="s">
        <v>194</v>
      </c>
      <c r="P822" s="1754" t="s">
        <v>785</v>
      </c>
      <c r="Q822" s="1789"/>
      <c r="R822" s="1789"/>
      <c r="S822" s="1789"/>
      <c r="T822" s="1789"/>
      <c r="U822" s="1789"/>
      <c r="V822" s="1789"/>
      <c r="W822" s="1789"/>
      <c r="X822" s="1918"/>
      <c r="Y822" s="1914"/>
      <c r="Z822" s="1913"/>
      <c r="AA822" s="1913"/>
      <c r="AB822" s="1794"/>
      <c r="AC822" s="1954"/>
      <c r="AD822" s="1954"/>
      <c r="AE822" s="1954"/>
      <c r="AF822" s="1954"/>
      <c r="AI822" s="1735" t="str">
        <f>"52:field228:" &amp; IF(I822="■",1,IF(L822="■",2,IF(O822="■",3,0)))</f>
        <v>52:field228:0</v>
      </c>
    </row>
    <row r="823" spans="1:36" s="1735" customFormat="1" ht="18.75" hidden="1" customHeight="1">
      <c r="A823" s="1766"/>
      <c r="B823" s="1765"/>
      <c r="C823" s="1916"/>
      <c r="D823" s="1915"/>
      <c r="E823" s="1762"/>
      <c r="F823" s="1761"/>
      <c r="G823" s="1762"/>
      <c r="H823" s="1769" t="s">
        <v>1124</v>
      </c>
      <c r="I823" s="1773" t="s">
        <v>194</v>
      </c>
      <c r="J823" s="1754" t="s">
        <v>750</v>
      </c>
      <c r="K823" s="1754"/>
      <c r="L823" s="1772" t="s">
        <v>194</v>
      </c>
      <c r="M823" s="1756" t="s">
        <v>764</v>
      </c>
      <c r="N823" s="1754"/>
      <c r="O823" s="1754"/>
      <c r="P823" s="1754"/>
      <c r="Q823" s="1789"/>
      <c r="R823" s="1789"/>
      <c r="S823" s="1789"/>
      <c r="T823" s="1789"/>
      <c r="U823" s="1789"/>
      <c r="V823" s="1789"/>
      <c r="W823" s="1789"/>
      <c r="X823" s="1918"/>
      <c r="Y823" s="1914"/>
      <c r="Z823" s="1913"/>
      <c r="AA823" s="1913"/>
      <c r="AB823" s="1794"/>
      <c r="AC823" s="1954"/>
      <c r="AD823" s="1954"/>
      <c r="AE823" s="1954"/>
      <c r="AF823" s="1954"/>
      <c r="AI823" s="1735" t="str">
        <f>"52:field226:" &amp; IF(I823="■",1,IF(L823="■",2,0))</f>
        <v>52:field226:0</v>
      </c>
    </row>
    <row r="824" spans="1:36" s="1735" customFormat="1" ht="18.75" hidden="1" customHeight="1">
      <c r="A824" s="1766"/>
      <c r="B824" s="1765"/>
      <c r="C824" s="1916"/>
      <c r="D824" s="1915"/>
      <c r="E824" s="1762"/>
      <c r="F824" s="1761"/>
      <c r="G824" s="1762"/>
      <c r="H824" s="1769" t="s">
        <v>1125</v>
      </c>
      <c r="I824" s="1773" t="s">
        <v>194</v>
      </c>
      <c r="J824" s="1754" t="s">
        <v>750</v>
      </c>
      <c r="K824" s="1754"/>
      <c r="L824" s="1772" t="s">
        <v>194</v>
      </c>
      <c r="M824" s="1756" t="s">
        <v>764</v>
      </c>
      <c r="N824" s="1754"/>
      <c r="O824" s="1754"/>
      <c r="P824" s="1754"/>
      <c r="Q824" s="1789"/>
      <c r="R824" s="1789"/>
      <c r="S824" s="1789"/>
      <c r="T824" s="1789"/>
      <c r="U824" s="1789"/>
      <c r="V824" s="1789"/>
      <c r="W824" s="1789"/>
      <c r="X824" s="1918"/>
      <c r="Y824" s="1914"/>
      <c r="Z824" s="1913"/>
      <c r="AA824" s="1913"/>
      <c r="AB824" s="1794"/>
      <c r="AC824" s="1954"/>
      <c r="AD824" s="1954"/>
      <c r="AE824" s="1954"/>
      <c r="AF824" s="1954"/>
      <c r="AI824" s="1735" t="str">
        <f>"52:field227:" &amp; IF(I824="■",1,IF(L824="■",2,0))</f>
        <v>52:field227:0</v>
      </c>
    </row>
    <row r="825" spans="1:36" s="1735" customFormat="1" ht="18.75" hidden="1" customHeight="1">
      <c r="A825" s="1766"/>
      <c r="B825" s="1765"/>
      <c r="C825" s="1916"/>
      <c r="D825" s="1915"/>
      <c r="E825" s="1762"/>
      <c r="F825" s="1761"/>
      <c r="G825" s="1762"/>
      <c r="H825" s="1917" t="s">
        <v>794</v>
      </c>
      <c r="I825" s="1773" t="s">
        <v>194</v>
      </c>
      <c r="J825" s="1754" t="s">
        <v>750</v>
      </c>
      <c r="K825" s="1754"/>
      <c r="L825" s="1772" t="s">
        <v>194</v>
      </c>
      <c r="M825" s="1754" t="s">
        <v>784</v>
      </c>
      <c r="N825" s="1754"/>
      <c r="O825" s="1772" t="s">
        <v>194</v>
      </c>
      <c r="P825" s="1754" t="s">
        <v>785</v>
      </c>
      <c r="Q825" s="1768"/>
      <c r="R825" s="1768"/>
      <c r="S825" s="1768"/>
      <c r="T825" s="1768"/>
      <c r="U825" s="1829"/>
      <c r="V825" s="1829"/>
      <c r="W825" s="1829"/>
      <c r="X825" s="1828"/>
      <c r="Y825" s="1914"/>
      <c r="Z825" s="1913"/>
      <c r="AA825" s="1913"/>
      <c r="AB825" s="1794"/>
      <c r="AC825" s="1954"/>
      <c r="AD825" s="1954"/>
      <c r="AE825" s="1954"/>
      <c r="AF825" s="1954"/>
      <c r="AI825" s="1735" t="str">
        <f>"52:field225:" &amp; IF(I825="■",1,IF(L825="■",2,IF(O825="■",3,0)))</f>
        <v>52:field225:0</v>
      </c>
    </row>
    <row r="826" spans="1:36" s="1735" customFormat="1" ht="18.75" hidden="1" customHeight="1">
      <c r="A826" s="1766"/>
      <c r="B826" s="1765"/>
      <c r="C826" s="1916"/>
      <c r="D826" s="1915"/>
      <c r="E826" s="1762"/>
      <c r="F826" s="1761"/>
      <c r="G826" s="1762"/>
      <c r="H826" s="1769" t="s">
        <v>795</v>
      </c>
      <c r="I826" s="1773" t="s">
        <v>194</v>
      </c>
      <c r="J826" s="1754" t="s">
        <v>750</v>
      </c>
      <c r="K826" s="1754"/>
      <c r="L826" s="1772" t="s">
        <v>194</v>
      </c>
      <c r="M826" s="1754" t="s">
        <v>796</v>
      </c>
      <c r="N826" s="1754"/>
      <c r="O826" s="1772" t="s">
        <v>194</v>
      </c>
      <c r="P826" s="1754" t="s">
        <v>797</v>
      </c>
      <c r="Q826" s="1771"/>
      <c r="R826" s="1772" t="s">
        <v>194</v>
      </c>
      <c r="S826" s="1754" t="s">
        <v>798</v>
      </c>
      <c r="T826" s="1754"/>
      <c r="U826" s="1754"/>
      <c r="V826" s="1754"/>
      <c r="W826" s="1754"/>
      <c r="X826" s="1753"/>
      <c r="Y826" s="1914"/>
      <c r="Z826" s="1913"/>
      <c r="AA826" s="1913"/>
      <c r="AB826" s="1794"/>
      <c r="AC826" s="1954"/>
      <c r="AD826" s="1954"/>
      <c r="AE826" s="1954"/>
      <c r="AF826" s="1954"/>
      <c r="AI826" s="1735" t="str">
        <f>"52:serteikyo_kyoka_code:" &amp; IF(I826="■",1,IF(L826="■",6,IF(O826="■",5,IF(R826="■",7,0))))</f>
        <v>52:serteikyo_kyoka_code:0</v>
      </c>
    </row>
    <row r="827" spans="1:36" s="1735" customFormat="1" ht="18.75" hidden="1" customHeight="1">
      <c r="A827" s="1752"/>
      <c r="B827" s="1751"/>
      <c r="C827" s="1750"/>
      <c r="D827" s="1749"/>
      <c r="E827" s="1748"/>
      <c r="F827" s="1747"/>
      <c r="G827" s="1808"/>
      <c r="H827" s="1909" t="s">
        <v>1553</v>
      </c>
      <c r="I827" s="1744" t="s">
        <v>194</v>
      </c>
      <c r="J827" s="1905" t="s">
        <v>750</v>
      </c>
      <c r="K827" s="1905"/>
      <c r="L827" s="1743" t="s">
        <v>194</v>
      </c>
      <c r="M827" s="1905" t="s">
        <v>1552</v>
      </c>
      <c r="N827" s="1908"/>
      <c r="O827" s="1743" t="s">
        <v>194</v>
      </c>
      <c r="P827" s="1907" t="s">
        <v>1551</v>
      </c>
      <c r="Q827" s="1906"/>
      <c r="R827" s="1743" t="s">
        <v>194</v>
      </c>
      <c r="S827" s="1905" t="s">
        <v>1550</v>
      </c>
      <c r="T827" s="1906"/>
      <c r="U827" s="1743" t="s">
        <v>194</v>
      </c>
      <c r="V827" s="1905" t="s">
        <v>1549</v>
      </c>
      <c r="W827" s="1904"/>
      <c r="X827" s="1903"/>
      <c r="Y827" s="1902"/>
      <c r="Z827" s="1902"/>
      <c r="AA827" s="1902"/>
      <c r="AB827" s="1901"/>
      <c r="AC827" s="1953"/>
      <c r="AD827" s="1953"/>
      <c r="AE827" s="1953"/>
      <c r="AF827" s="1953"/>
      <c r="AI827" s="1735" t="str">
        <f>"52:shoguukaizen_code:"&amp;IF(I827="■",1,IF(L827="■",7,IF(O827="■",8,IF(R827="■",9,IF(U827="■","A",0)))))</f>
        <v>52:shoguukaizen_code:0</v>
      </c>
    </row>
    <row r="828" spans="1:36" s="1735" customFormat="1" ht="18.75" hidden="1" customHeight="1">
      <c r="A828" s="1807"/>
      <c r="B828" s="1806"/>
      <c r="C828" s="1934"/>
      <c r="D828" s="1933"/>
      <c r="E828" s="1804"/>
      <c r="F828" s="1803"/>
      <c r="G828" s="1804"/>
      <c r="H828" s="1885" t="s">
        <v>746</v>
      </c>
      <c r="I828" s="1873" t="s">
        <v>194</v>
      </c>
      <c r="J828" s="1872" t="s">
        <v>747</v>
      </c>
      <c r="K828" s="1932"/>
      <c r="L828" s="1930"/>
      <c r="M828" s="1931" t="s">
        <v>194</v>
      </c>
      <c r="N828" s="1872" t="s">
        <v>1572</v>
      </c>
      <c r="O828" s="1930"/>
      <c r="P828" s="1930"/>
      <c r="Q828" s="1931" t="s">
        <v>194</v>
      </c>
      <c r="R828" s="1872" t="s">
        <v>1571</v>
      </c>
      <c r="S828" s="1930"/>
      <c r="T828" s="1930"/>
      <c r="U828" s="1931" t="s">
        <v>194</v>
      </c>
      <c r="V828" s="1872" t="s">
        <v>1570</v>
      </c>
      <c r="W828" s="1930"/>
      <c r="X828" s="1886"/>
      <c r="Y828" s="1873" t="s">
        <v>194</v>
      </c>
      <c r="Z828" s="1872" t="s">
        <v>749</v>
      </c>
      <c r="AA828" s="1872"/>
      <c r="AB828" s="1929"/>
      <c r="AC828" s="1928"/>
      <c r="AD828" s="1927"/>
      <c r="AE828" s="1927"/>
      <c r="AF828" s="1926"/>
      <c r="AG828" s="1735" t="str">
        <f>"ser_code = '" &amp; IF(A844="■",55,"") &amp; "'"</f>
        <v>ser_code = ''</v>
      </c>
      <c r="AH828" s="1735" t="str">
        <f>"55:jininkbn_code:" &amp; IF(F843="■",1,IF(F844="■",2,IF(F845="■",3,0)))</f>
        <v>55:jininkbn_code:0</v>
      </c>
      <c r="AI828" s="1735" t="str">
        <f>"55:yakan_kinmu_code:" &amp; IF(I828="■",1,IF(M828="■",2,IF(Q828="■",3,IF(U828="■",7,IF(I829="■",5,IF(M829="■",6,0))))))</f>
        <v>55:yakan_kinmu_code:0</v>
      </c>
      <c r="AJ828" s="1735" t="str">
        <f>"55:field203:" &amp; IF(Y828="■",1,IF(Y829="■",2,0))</f>
        <v>55:field203:0</v>
      </c>
    </row>
    <row r="829" spans="1:36" s="1735" customFormat="1" ht="18.75" hidden="1" customHeight="1">
      <c r="A829" s="1766"/>
      <c r="B829" s="1765"/>
      <c r="C829" s="1916"/>
      <c r="D829" s="1915"/>
      <c r="E829" s="1762"/>
      <c r="F829" s="1761"/>
      <c r="G829" s="1762"/>
      <c r="H829" s="1921"/>
      <c r="I829" s="1758" t="s">
        <v>194</v>
      </c>
      <c r="J829" s="1756" t="s">
        <v>1569</v>
      </c>
      <c r="K829" s="1755"/>
      <c r="L829" s="1780"/>
      <c r="M829" s="1757" t="s">
        <v>194</v>
      </c>
      <c r="N829" s="1756" t="s">
        <v>748</v>
      </c>
      <c r="O829" s="1780"/>
      <c r="P829" s="1780"/>
      <c r="Q829" s="1780"/>
      <c r="R829" s="1780"/>
      <c r="S829" s="1780"/>
      <c r="T829" s="1780"/>
      <c r="U829" s="1780"/>
      <c r="V829" s="1780"/>
      <c r="W829" s="1780"/>
      <c r="X829" s="1779"/>
      <c r="Y829" s="1776" t="s">
        <v>194</v>
      </c>
      <c r="Z829" s="1738" t="s">
        <v>754</v>
      </c>
      <c r="AA829" s="1913"/>
      <c r="AB829" s="1794"/>
      <c r="AC829" s="1912"/>
      <c r="AD829" s="1911"/>
      <c r="AE829" s="1911"/>
      <c r="AF829" s="1910"/>
      <c r="AG829" s="1735" t="str">
        <f>"55:sisetukbn_code:" &amp; IF(D844="■",1,0)</f>
        <v>55:sisetukbn_code:0</v>
      </c>
    </row>
    <row r="830" spans="1:36" s="1735" customFormat="1" ht="18.75" hidden="1" customHeight="1">
      <c r="A830" s="1766"/>
      <c r="B830" s="1765"/>
      <c r="C830" s="1916"/>
      <c r="D830" s="1915"/>
      <c r="E830" s="1762"/>
      <c r="F830" s="1761"/>
      <c r="G830" s="1762"/>
      <c r="H830" s="1925" t="s">
        <v>98</v>
      </c>
      <c r="I830" s="1924" t="s">
        <v>194</v>
      </c>
      <c r="J830" s="1923" t="s">
        <v>750</v>
      </c>
      <c r="K830" s="1923"/>
      <c r="L830" s="1785"/>
      <c r="M830" s="1922" t="s">
        <v>194</v>
      </c>
      <c r="N830" s="1923" t="s">
        <v>1568</v>
      </c>
      <c r="O830" s="1923"/>
      <c r="P830" s="1785"/>
      <c r="Q830" s="1922" t="s">
        <v>194</v>
      </c>
      <c r="R830" s="1785" t="s">
        <v>1567</v>
      </c>
      <c r="S830" s="1785"/>
      <c r="T830" s="1785"/>
      <c r="U830" s="1922" t="s">
        <v>194</v>
      </c>
      <c r="V830" s="1785" t="s">
        <v>1566</v>
      </c>
      <c r="W830" s="1829"/>
      <c r="X830" s="1828"/>
      <c r="Y830" s="1914"/>
      <c r="Z830" s="1913"/>
      <c r="AA830" s="1913"/>
      <c r="AB830" s="1794"/>
      <c r="AC830" s="1912"/>
      <c r="AD830" s="1911"/>
      <c r="AE830" s="1911"/>
      <c r="AF830" s="1910"/>
      <c r="AI830" s="1735" t="str">
        <f>"55:"&amp;IF(AND(I830="□",M830="□",Q830="□",U830="□",I831="□",M831="□"),"ketu_doctor_code:0",IF(I830="■","ketu_doctor_code:1:field197:1:ketu_kangos_code:1:ketu_kshoku_code:1:ketu_ksiensou_code:1",IF(M830="■","ketu_doctor_code:2","ketu_doctor_code:1")
&amp;IF(Q830="■",":field197:2",":field197:1")
&amp;IF(U830="■",":ketu_kangos_code:2",":ketu_kangos_code:1")
&amp;IF(I831="■",":ketu_kshoku_code:2",":ketu_kshoku_code:1")
&amp;IF(M831="■",":ketu_ksiensou_code:2",":ketu_ksiensou_code:1")))</f>
        <v>55:ketu_doctor_code:0</v>
      </c>
    </row>
    <row r="831" spans="1:36" s="1735" customFormat="1" ht="18.75" hidden="1" customHeight="1">
      <c r="A831" s="1766"/>
      <c r="B831" s="1765"/>
      <c r="C831" s="1916"/>
      <c r="D831" s="1915"/>
      <c r="E831" s="1762"/>
      <c r="F831" s="1761"/>
      <c r="G831" s="1762"/>
      <c r="H831" s="1921"/>
      <c r="I831" s="1758" t="s">
        <v>194</v>
      </c>
      <c r="J831" s="1780" t="s">
        <v>1565</v>
      </c>
      <c r="K831" s="1756"/>
      <c r="L831" s="1780"/>
      <c r="M831" s="1757" t="s">
        <v>194</v>
      </c>
      <c r="N831" s="1756" t="s">
        <v>1564</v>
      </c>
      <c r="O831" s="1756"/>
      <c r="P831" s="1780"/>
      <c r="Q831" s="1780"/>
      <c r="R831" s="1780"/>
      <c r="S831" s="1780"/>
      <c r="T831" s="1780"/>
      <c r="U831" s="1780"/>
      <c r="V831" s="1780"/>
      <c r="W831" s="1827"/>
      <c r="X831" s="1826"/>
      <c r="Y831" s="1914"/>
      <c r="Z831" s="1913"/>
      <c r="AA831" s="1913"/>
      <c r="AB831" s="1794"/>
      <c r="AC831" s="1912"/>
      <c r="AD831" s="1911"/>
      <c r="AE831" s="1911"/>
      <c r="AF831" s="1910"/>
    </row>
    <row r="832" spans="1:36" s="1735" customFormat="1" ht="18.75" hidden="1" customHeight="1">
      <c r="A832" s="1766"/>
      <c r="B832" s="1765"/>
      <c r="C832" s="1916"/>
      <c r="D832" s="1915"/>
      <c r="E832" s="1762"/>
      <c r="F832" s="1761"/>
      <c r="G832" s="1762"/>
      <c r="H832" s="1769" t="s">
        <v>757</v>
      </c>
      <c r="I832" s="1773" t="s">
        <v>194</v>
      </c>
      <c r="J832" s="1754" t="s">
        <v>758</v>
      </c>
      <c r="K832" s="1789"/>
      <c r="L832" s="1791"/>
      <c r="M832" s="1772" t="s">
        <v>194</v>
      </c>
      <c r="N832" s="1754" t="s">
        <v>759</v>
      </c>
      <c r="O832" s="1768"/>
      <c r="P832" s="1768"/>
      <c r="Q832" s="1768"/>
      <c r="R832" s="1768"/>
      <c r="S832" s="1768"/>
      <c r="T832" s="1768"/>
      <c r="U832" s="1768"/>
      <c r="V832" s="1768"/>
      <c r="W832" s="1768"/>
      <c r="X832" s="1767"/>
      <c r="Y832" s="1914"/>
      <c r="Z832" s="1913"/>
      <c r="AA832" s="1913"/>
      <c r="AB832" s="1794"/>
      <c r="AC832" s="1912"/>
      <c r="AD832" s="1911"/>
      <c r="AE832" s="1911"/>
      <c r="AF832" s="1910"/>
      <c r="AI832" s="1735" t="str">
        <f>"55:sintaikousoku_code:" &amp; IF(I832="■",1,IF(M832="■",2,0))</f>
        <v>55:sintaikousoku_code:0</v>
      </c>
    </row>
    <row r="833" spans="1:35" s="1735" customFormat="1" ht="18.75" hidden="1" customHeight="1">
      <c r="A833" s="1766"/>
      <c r="B833" s="1765"/>
      <c r="C833" s="1916"/>
      <c r="D833" s="1915"/>
      <c r="E833" s="1762"/>
      <c r="F833" s="1761"/>
      <c r="G833" s="1762"/>
      <c r="H833" s="1769" t="s">
        <v>448</v>
      </c>
      <c r="I833" s="1773" t="s">
        <v>194</v>
      </c>
      <c r="J833" s="1754" t="s">
        <v>758</v>
      </c>
      <c r="K833" s="1789"/>
      <c r="L833" s="1791"/>
      <c r="M833" s="1772" t="s">
        <v>194</v>
      </c>
      <c r="N833" s="1754" t="s">
        <v>759</v>
      </c>
      <c r="O833" s="1768"/>
      <c r="P833" s="1768"/>
      <c r="Q833" s="1768"/>
      <c r="R833" s="1768"/>
      <c r="S833" s="1768"/>
      <c r="T833" s="1768"/>
      <c r="U833" s="1768"/>
      <c r="V833" s="1768"/>
      <c r="W833" s="1768"/>
      <c r="X833" s="1767"/>
      <c r="Y833" s="1914"/>
      <c r="Z833" s="1913"/>
      <c r="AA833" s="1913"/>
      <c r="AB833" s="1794"/>
      <c r="AC833" s="1912"/>
      <c r="AD833" s="1911"/>
      <c r="AE833" s="1911"/>
      <c r="AF833" s="1910"/>
      <c r="AI833" s="1735" t="str">
        <f>"55:field208:" &amp; IF(I833="■",1,IF(M833="■",2,0))</f>
        <v>55:field208:0</v>
      </c>
    </row>
    <row r="834" spans="1:35" s="1735" customFormat="1" ht="19.5" hidden="1" customHeight="1">
      <c r="A834" s="1766"/>
      <c r="B834" s="1765"/>
      <c r="C834" s="1764"/>
      <c r="D834" s="1763"/>
      <c r="E834" s="1762"/>
      <c r="F834" s="1761"/>
      <c r="G834" s="1793"/>
      <c r="H834" s="1792" t="s">
        <v>760</v>
      </c>
      <c r="I834" s="1773" t="s">
        <v>194</v>
      </c>
      <c r="J834" s="1754" t="s">
        <v>758</v>
      </c>
      <c r="K834" s="1789"/>
      <c r="L834" s="1791"/>
      <c r="M834" s="1772" t="s">
        <v>194</v>
      </c>
      <c r="N834" s="1754" t="s">
        <v>761</v>
      </c>
      <c r="O834" s="1920"/>
      <c r="P834" s="1754"/>
      <c r="Q834" s="1768"/>
      <c r="R834" s="1768"/>
      <c r="S834" s="1768"/>
      <c r="T834" s="1768"/>
      <c r="U834" s="1768"/>
      <c r="V834" s="1768"/>
      <c r="W834" s="1768"/>
      <c r="X834" s="1767"/>
      <c r="Y834" s="1913"/>
      <c r="Z834" s="1913"/>
      <c r="AA834" s="1913"/>
      <c r="AB834" s="1794"/>
      <c r="AC834" s="1912"/>
      <c r="AD834" s="1911"/>
      <c r="AE834" s="1911"/>
      <c r="AF834" s="1910"/>
      <c r="AI834" s="1735" t="str">
        <f>"55:field223:" &amp; IF(I834="■",1,IF(M834="■",2,0))</f>
        <v>55:field223:0</v>
      </c>
    </row>
    <row r="835" spans="1:35" s="1735" customFormat="1" ht="19.5" hidden="1" customHeight="1">
      <c r="A835" s="1766"/>
      <c r="B835" s="1765"/>
      <c r="C835" s="1764"/>
      <c r="D835" s="1763"/>
      <c r="E835" s="1762"/>
      <c r="F835" s="1761"/>
      <c r="G835" s="1793"/>
      <c r="H835" s="1792" t="s">
        <v>762</v>
      </c>
      <c r="I835" s="1773" t="s">
        <v>194</v>
      </c>
      <c r="J835" s="1754" t="s">
        <v>758</v>
      </c>
      <c r="K835" s="1789"/>
      <c r="L835" s="1791"/>
      <c r="M835" s="1772" t="s">
        <v>194</v>
      </c>
      <c r="N835" s="1754" t="s">
        <v>761</v>
      </c>
      <c r="O835" s="1920"/>
      <c r="P835" s="1754"/>
      <c r="Q835" s="1768"/>
      <c r="R835" s="1768"/>
      <c r="S835" s="1768"/>
      <c r="T835" s="1768"/>
      <c r="U835" s="1768"/>
      <c r="V835" s="1768"/>
      <c r="W835" s="1768"/>
      <c r="X835" s="1767"/>
      <c r="Y835" s="1913"/>
      <c r="Z835" s="1913"/>
      <c r="AA835" s="1913"/>
      <c r="AB835" s="1794"/>
      <c r="AC835" s="1912"/>
      <c r="AD835" s="1911"/>
      <c r="AE835" s="1911"/>
      <c r="AF835" s="1910"/>
      <c r="AI835" s="1735" t="str">
        <f>"55:field232:" &amp; IF(I835="■",1,IF(M835="■",2,0))</f>
        <v>55:field232:0</v>
      </c>
    </row>
    <row r="836" spans="1:35" s="1735" customFormat="1" ht="18.75" hidden="1" customHeight="1">
      <c r="A836" s="1766"/>
      <c r="B836" s="1765"/>
      <c r="C836" s="1916"/>
      <c r="D836" s="1915"/>
      <c r="E836" s="1762"/>
      <c r="F836" s="1761"/>
      <c r="G836" s="1762"/>
      <c r="H836" s="1788" t="s">
        <v>763</v>
      </c>
      <c r="I836" s="1868" t="s">
        <v>194</v>
      </c>
      <c r="J836" s="1830" t="s">
        <v>750</v>
      </c>
      <c r="K836" s="1830"/>
      <c r="L836" s="1919" t="s">
        <v>194</v>
      </c>
      <c r="M836" s="1830" t="s">
        <v>764</v>
      </c>
      <c r="N836" s="1830"/>
      <c r="O836" s="1785"/>
      <c r="P836" s="1785"/>
      <c r="Q836" s="1785"/>
      <c r="R836" s="1785"/>
      <c r="S836" s="1785"/>
      <c r="T836" s="1785"/>
      <c r="U836" s="1785"/>
      <c r="V836" s="1785"/>
      <c r="W836" s="1785"/>
      <c r="X836" s="1784"/>
      <c r="Y836" s="1914"/>
      <c r="Z836" s="1913"/>
      <c r="AA836" s="1913"/>
      <c r="AB836" s="1794"/>
      <c r="AC836" s="1912"/>
      <c r="AD836" s="1911"/>
      <c r="AE836" s="1911"/>
      <c r="AF836" s="1910"/>
      <c r="AI836" s="1735" t="str">
        <f>"55:field206:" &amp; IF(I836="■",1,IF(L836="■",2,0))</f>
        <v>55:field206:0</v>
      </c>
    </row>
    <row r="837" spans="1:35" s="1735" customFormat="1" ht="18.75" hidden="1" customHeight="1">
      <c r="A837" s="1766"/>
      <c r="B837" s="1765"/>
      <c r="C837" s="1916"/>
      <c r="D837" s="1915"/>
      <c r="E837" s="1762"/>
      <c r="F837" s="1761"/>
      <c r="G837" s="1762"/>
      <c r="H837" s="1783"/>
      <c r="I837" s="1819"/>
      <c r="J837" s="1781"/>
      <c r="K837" s="1781"/>
      <c r="L837" s="1818"/>
      <c r="M837" s="1781"/>
      <c r="N837" s="1781"/>
      <c r="O837" s="1780"/>
      <c r="P837" s="1780"/>
      <c r="Q837" s="1780"/>
      <c r="R837" s="1780"/>
      <c r="S837" s="1780"/>
      <c r="T837" s="1780"/>
      <c r="U837" s="1780"/>
      <c r="V837" s="1780"/>
      <c r="W837" s="1780"/>
      <c r="X837" s="1779"/>
      <c r="Y837" s="1914"/>
      <c r="Z837" s="1913"/>
      <c r="AA837" s="1913"/>
      <c r="AB837" s="1794"/>
      <c r="AC837" s="1912"/>
      <c r="AD837" s="1911"/>
      <c r="AE837" s="1911"/>
      <c r="AF837" s="1910"/>
    </row>
    <row r="838" spans="1:35" s="1735" customFormat="1" ht="18.75" hidden="1" customHeight="1">
      <c r="A838" s="1766"/>
      <c r="B838" s="1765"/>
      <c r="C838" s="1916"/>
      <c r="D838" s="1915"/>
      <c r="E838" s="1762"/>
      <c r="F838" s="1761"/>
      <c r="G838" s="1762"/>
      <c r="H838" s="1769" t="s">
        <v>1560</v>
      </c>
      <c r="I838" s="1773" t="s">
        <v>194</v>
      </c>
      <c r="J838" s="1754" t="s">
        <v>1557</v>
      </c>
      <c r="K838" s="1789"/>
      <c r="L838" s="1791"/>
      <c r="M838" s="1772" t="s">
        <v>194</v>
      </c>
      <c r="N838" s="1754" t="s">
        <v>1556</v>
      </c>
      <c r="O838" s="1768"/>
      <c r="P838" s="1768"/>
      <c r="Q838" s="1768"/>
      <c r="R838" s="1768"/>
      <c r="S838" s="1768"/>
      <c r="T838" s="1768"/>
      <c r="U838" s="1768"/>
      <c r="V838" s="1768"/>
      <c r="W838" s="1768"/>
      <c r="X838" s="1767"/>
      <c r="Y838" s="1914"/>
      <c r="Z838" s="1913"/>
      <c r="AA838" s="1913"/>
      <c r="AB838" s="1794"/>
      <c r="AC838" s="1912"/>
      <c r="AD838" s="1911"/>
      <c r="AE838" s="1911"/>
      <c r="AF838" s="1910"/>
      <c r="AI838" s="1735" t="str">
        <f>"55:field190:" &amp; IF(I838="■",1,IF(M838="■",2,0))</f>
        <v>55:field190:0</v>
      </c>
    </row>
    <row r="839" spans="1:35" s="1735" customFormat="1" ht="18.75" hidden="1" customHeight="1">
      <c r="A839" s="1766"/>
      <c r="B839" s="1765"/>
      <c r="C839" s="1916"/>
      <c r="D839" s="1915"/>
      <c r="E839" s="1762"/>
      <c r="F839" s="1761"/>
      <c r="G839" s="1762"/>
      <c r="H839" s="1769" t="s">
        <v>1558</v>
      </c>
      <c r="I839" s="1773" t="s">
        <v>194</v>
      </c>
      <c r="J839" s="1754" t="s">
        <v>1557</v>
      </c>
      <c r="K839" s="1789"/>
      <c r="L839" s="1791"/>
      <c r="M839" s="1772" t="s">
        <v>194</v>
      </c>
      <c r="N839" s="1754" t="s">
        <v>1556</v>
      </c>
      <c r="O839" s="1768"/>
      <c r="P839" s="1768"/>
      <c r="Q839" s="1768"/>
      <c r="R839" s="1768"/>
      <c r="S839" s="1768"/>
      <c r="T839" s="1768"/>
      <c r="U839" s="1768"/>
      <c r="V839" s="1768"/>
      <c r="W839" s="1768"/>
      <c r="X839" s="1767"/>
      <c r="Y839" s="1914"/>
      <c r="Z839" s="1913"/>
      <c r="AA839" s="1913"/>
      <c r="AB839" s="1794"/>
      <c r="AC839" s="1912"/>
      <c r="AD839" s="1911"/>
      <c r="AE839" s="1911"/>
      <c r="AF839" s="1910"/>
      <c r="AI839" s="1735" t="str">
        <f>"55:field191:" &amp; IF(I839="■",1,IF(M839="■",2,0))</f>
        <v>55:field191:0</v>
      </c>
    </row>
    <row r="840" spans="1:35" s="1735" customFormat="1" ht="18.75" hidden="1" customHeight="1">
      <c r="A840" s="1766"/>
      <c r="B840" s="1765"/>
      <c r="C840" s="1916"/>
      <c r="D840" s="1915"/>
      <c r="E840" s="1762"/>
      <c r="F840" s="1761"/>
      <c r="G840" s="1762"/>
      <c r="H840" s="1769" t="s">
        <v>1555</v>
      </c>
      <c r="I840" s="1758" t="s">
        <v>194</v>
      </c>
      <c r="J840" s="1756" t="s">
        <v>750</v>
      </c>
      <c r="K840" s="1755"/>
      <c r="L840" s="1757" t="s">
        <v>194</v>
      </c>
      <c r="M840" s="1756" t="s">
        <v>764</v>
      </c>
      <c r="N840" s="1771"/>
      <c r="O840" s="1768"/>
      <c r="P840" s="1768"/>
      <c r="Q840" s="1768"/>
      <c r="R840" s="1768"/>
      <c r="S840" s="1768"/>
      <c r="T840" s="1768"/>
      <c r="U840" s="1768"/>
      <c r="V840" s="1768"/>
      <c r="W840" s="1768"/>
      <c r="X840" s="1767"/>
      <c r="Y840" s="1914"/>
      <c r="Z840" s="1913"/>
      <c r="AA840" s="1913"/>
      <c r="AB840" s="1794"/>
      <c r="AC840" s="1912"/>
      <c r="AD840" s="1911"/>
      <c r="AE840" s="1911"/>
      <c r="AF840" s="1910"/>
      <c r="AI840" s="1735" t="str">
        <f>"55:jyakuninti_uke_code:" &amp; IF(I840="■",1,IF(L840="■",2,0))</f>
        <v>55:jyakuninti_uke_code:0</v>
      </c>
    </row>
    <row r="841" spans="1:35" s="1735" customFormat="1" ht="18.75" hidden="1" customHeight="1">
      <c r="A841" s="1766"/>
      <c r="B841" s="1765"/>
      <c r="C841" s="1916"/>
      <c r="D841" s="1915"/>
      <c r="E841" s="1762"/>
      <c r="F841" s="1761"/>
      <c r="G841" s="1762"/>
      <c r="H841" s="1769" t="s">
        <v>786</v>
      </c>
      <c r="I841" s="1758" t="s">
        <v>194</v>
      </c>
      <c r="J841" s="1756" t="s">
        <v>750</v>
      </c>
      <c r="K841" s="1755"/>
      <c r="L841" s="1757" t="s">
        <v>194</v>
      </c>
      <c r="M841" s="1756" t="s">
        <v>764</v>
      </c>
      <c r="N841" s="1771"/>
      <c r="O841" s="1768"/>
      <c r="P841" s="1768"/>
      <c r="Q841" s="1768"/>
      <c r="R841" s="1768"/>
      <c r="S841" s="1768"/>
      <c r="T841" s="1768"/>
      <c r="U841" s="1768"/>
      <c r="V841" s="1768"/>
      <c r="W841" s="1768"/>
      <c r="X841" s="1767"/>
      <c r="Y841" s="1914"/>
      <c r="Z841" s="1913"/>
      <c r="AA841" s="1913"/>
      <c r="AB841" s="1794"/>
      <c r="AC841" s="1912"/>
      <c r="AD841" s="1911"/>
      <c r="AE841" s="1911"/>
      <c r="AF841" s="1910"/>
      <c r="AI841" s="1735" t="str">
        <f>"55:field207:" &amp; IF(I841="■",1,IF(L841="■",2,0))</f>
        <v>55:field207:0</v>
      </c>
    </row>
    <row r="842" spans="1:35" s="1735" customFormat="1" ht="18.75" hidden="1" customHeight="1">
      <c r="A842" s="1766"/>
      <c r="B842" s="1765"/>
      <c r="C842" s="1916"/>
      <c r="D842" s="1915"/>
      <c r="E842" s="1762"/>
      <c r="F842" s="1761"/>
      <c r="G842" s="1762"/>
      <c r="H842" s="1769" t="s">
        <v>787</v>
      </c>
      <c r="I842" s="1758" t="s">
        <v>194</v>
      </c>
      <c r="J842" s="1756" t="s">
        <v>750</v>
      </c>
      <c r="K842" s="1755"/>
      <c r="L842" s="1757" t="s">
        <v>194</v>
      </c>
      <c r="M842" s="1756" t="s">
        <v>764</v>
      </c>
      <c r="N842" s="1771"/>
      <c r="O842" s="1768"/>
      <c r="P842" s="1768"/>
      <c r="Q842" s="1768"/>
      <c r="R842" s="1768"/>
      <c r="S842" s="1768"/>
      <c r="T842" s="1768"/>
      <c r="U842" s="1768"/>
      <c r="V842" s="1768"/>
      <c r="W842" s="1768"/>
      <c r="X842" s="1767"/>
      <c r="Y842" s="1914"/>
      <c r="Z842" s="1913"/>
      <c r="AA842" s="1913"/>
      <c r="AB842" s="1794"/>
      <c r="AC842" s="1912"/>
      <c r="AD842" s="1911"/>
      <c r="AE842" s="1911"/>
      <c r="AF842" s="1910"/>
      <c r="AI842" s="1735" t="str">
        <f>"55:ryouyoushoku_code:" &amp; IF(I842="■",1,IF(L842="■",2,0))</f>
        <v>55:ryouyoushoku_code:0</v>
      </c>
    </row>
    <row r="843" spans="1:35" s="1735" customFormat="1" ht="18.75" hidden="1" customHeight="1">
      <c r="A843" s="1766"/>
      <c r="B843" s="1765"/>
      <c r="C843" s="1916"/>
      <c r="D843" s="1915"/>
      <c r="E843" s="1762"/>
      <c r="F843" s="1776" t="s">
        <v>194</v>
      </c>
      <c r="G843" s="1762" t="s">
        <v>1592</v>
      </c>
      <c r="H843" s="1925" t="s">
        <v>1590</v>
      </c>
      <c r="I843" s="1924" t="s">
        <v>194</v>
      </c>
      <c r="J843" s="1923" t="s">
        <v>1589</v>
      </c>
      <c r="K843" s="1923"/>
      <c r="L843" s="1829"/>
      <c r="M843" s="1829"/>
      <c r="N843" s="1829"/>
      <c r="O843" s="1829"/>
      <c r="P843" s="1922" t="s">
        <v>194</v>
      </c>
      <c r="Q843" s="1923" t="s">
        <v>1588</v>
      </c>
      <c r="R843" s="1829"/>
      <c r="S843" s="1829"/>
      <c r="T843" s="1829"/>
      <c r="U843" s="1829"/>
      <c r="V843" s="1829"/>
      <c r="W843" s="1829"/>
      <c r="X843" s="1828"/>
      <c r="Y843" s="1914"/>
      <c r="Z843" s="1913"/>
      <c r="AA843" s="1913"/>
      <c r="AB843" s="1794"/>
      <c r="AC843" s="1912"/>
      <c r="AD843" s="1911"/>
      <c r="AE843" s="1911"/>
      <c r="AF843" s="1910"/>
      <c r="AI843" s="1735" t="str">
        <f>"55:" &amp; IF(AND(I843="□",P843="□",I844="□"),"tokusin_jyusho_code:0:tokusin_yakuzai_code:0:shuudan_comu_code:0",IF(I843="■","tokusin_jyusho_code:2","tokusin_jyusho_code:1")
&amp;IF(P843="■",":tokusin_yakuzai_code:2",":tokusin_yakuzai_code:1")
&amp;IF(I844="■",":shuudan_comu_code:2",":shuudan_comu_code:1"))</f>
        <v>55:tokusin_jyusho_code:0:tokusin_yakuzai_code:0:shuudan_comu_code:0</v>
      </c>
    </row>
    <row r="844" spans="1:35" s="1735" customFormat="1" ht="18.75" hidden="1" customHeight="1">
      <c r="A844" s="1776" t="s">
        <v>194</v>
      </c>
      <c r="B844" s="1765">
        <v>55</v>
      </c>
      <c r="C844" s="1916" t="s">
        <v>1602</v>
      </c>
      <c r="D844" s="1776" t="s">
        <v>194</v>
      </c>
      <c r="E844" s="1762" t="s">
        <v>1605</v>
      </c>
      <c r="F844" s="1776" t="s">
        <v>194</v>
      </c>
      <c r="G844" s="1762" t="s">
        <v>1591</v>
      </c>
      <c r="H844" s="1921"/>
      <c r="I844" s="1758" t="s">
        <v>194</v>
      </c>
      <c r="J844" s="1756" t="s">
        <v>1585</v>
      </c>
      <c r="K844" s="1827"/>
      <c r="L844" s="1827"/>
      <c r="M844" s="1827"/>
      <c r="N844" s="1827"/>
      <c r="O844" s="1827"/>
      <c r="P844" s="1827"/>
      <c r="Q844" s="1780"/>
      <c r="R844" s="1827"/>
      <c r="S844" s="1827"/>
      <c r="T844" s="1827"/>
      <c r="U844" s="1827"/>
      <c r="V844" s="1827"/>
      <c r="W844" s="1827"/>
      <c r="X844" s="1826"/>
      <c r="Y844" s="1914"/>
      <c r="Z844" s="1913"/>
      <c r="AA844" s="1913"/>
      <c r="AB844" s="1794"/>
      <c r="AC844" s="1912"/>
      <c r="AD844" s="1911"/>
      <c r="AE844" s="1911"/>
      <c r="AF844" s="1910"/>
    </row>
    <row r="845" spans="1:35" s="1735" customFormat="1" ht="18.75" hidden="1" customHeight="1">
      <c r="A845" s="1766"/>
      <c r="B845" s="1765"/>
      <c r="C845" s="1916"/>
      <c r="D845" s="1915"/>
      <c r="E845" s="1762"/>
      <c r="F845" s="1776" t="s">
        <v>194</v>
      </c>
      <c r="G845" s="1762" t="s">
        <v>1604</v>
      </c>
      <c r="H845" s="1925" t="s">
        <v>1584</v>
      </c>
      <c r="I845" s="1924" t="s">
        <v>194</v>
      </c>
      <c r="J845" s="1923" t="s">
        <v>1583</v>
      </c>
      <c r="K845" s="1938"/>
      <c r="L845" s="1937"/>
      <c r="M845" s="1922" t="s">
        <v>194</v>
      </c>
      <c r="N845" s="1923" t="s">
        <v>1582</v>
      </c>
      <c r="O845" s="1829"/>
      <c r="P845" s="1829"/>
      <c r="Q845" s="1922" t="s">
        <v>194</v>
      </c>
      <c r="R845" s="1923" t="s">
        <v>1581</v>
      </c>
      <c r="S845" s="1829"/>
      <c r="T845" s="1829"/>
      <c r="U845" s="1829"/>
      <c r="V845" s="1829"/>
      <c r="W845" s="1829"/>
      <c r="X845" s="1828"/>
      <c r="Y845" s="1914"/>
      <c r="Z845" s="1913"/>
      <c r="AA845" s="1913"/>
      <c r="AB845" s="1794"/>
      <c r="AC845" s="1912"/>
      <c r="AD845" s="1911"/>
      <c r="AE845" s="1911"/>
      <c r="AF845" s="1910"/>
      <c r="AI845" s="1735" t="str">
        <f>"55:"&amp;IF(AND(I845="□",M845="□",Q845="□",I846="□",Q846="□"),"koriha_rryoho1_code:0:koriha_sryoho_code:0:koriha_gengo_code:0:riha_seisin_code:0:koriha_other_code:0",IF(I845="■","koriha_rryoho1_code:2","koriha_rryoho1_code:1")
&amp;IF(M845="■",":koriha_sryoho_code:2",":koriha_sryoho_code:1")
&amp;IF(Q845="■",":koriha_gengo_code:2",":koriha_gengo_code:1")
&amp;IF(I846="■",":riha_seisin_code:2",":riha_seisin_code:1")
&amp;IF(Q846="■",":koriha_other_code:2",":koriha_other_code:1"))</f>
        <v>55:koriha_rryoho1_code:0:koriha_sryoho_code:0:koriha_gengo_code:0:riha_seisin_code:0:koriha_other_code:0</v>
      </c>
    </row>
    <row r="846" spans="1:35" s="1735" customFormat="1" ht="18.75" hidden="1" customHeight="1">
      <c r="A846" s="1766"/>
      <c r="B846" s="1765"/>
      <c r="C846" s="1916"/>
      <c r="D846" s="1915"/>
      <c r="E846" s="1762"/>
      <c r="F846" s="1915"/>
      <c r="G846" s="1762"/>
      <c r="H846" s="1921"/>
      <c r="I846" s="1758" t="s">
        <v>194</v>
      </c>
      <c r="J846" s="1756" t="s">
        <v>1580</v>
      </c>
      <c r="K846" s="1827"/>
      <c r="L846" s="1827"/>
      <c r="M846" s="1827"/>
      <c r="N846" s="1827"/>
      <c r="O846" s="1827"/>
      <c r="P846" s="1827"/>
      <c r="Q846" s="1757" t="s">
        <v>194</v>
      </c>
      <c r="R846" s="1756" t="s">
        <v>1579</v>
      </c>
      <c r="S846" s="1780"/>
      <c r="T846" s="1827"/>
      <c r="U846" s="1827"/>
      <c r="V846" s="1827"/>
      <c r="W846" s="1827"/>
      <c r="X846" s="1826"/>
      <c r="Y846" s="1914"/>
      <c r="Z846" s="1913"/>
      <c r="AA846" s="1913"/>
      <c r="AB846" s="1794"/>
      <c r="AC846" s="1912"/>
      <c r="AD846" s="1911"/>
      <c r="AE846" s="1911"/>
      <c r="AF846" s="1910"/>
    </row>
    <row r="847" spans="1:35" s="1735" customFormat="1" ht="18.75" hidden="1" customHeight="1">
      <c r="A847" s="1766"/>
      <c r="B847" s="1765"/>
      <c r="C847" s="1916"/>
      <c r="D847" s="1915"/>
      <c r="E847" s="1762"/>
      <c r="F847" s="1915"/>
      <c r="G847" s="1762"/>
      <c r="H847" s="1788" t="s">
        <v>1578</v>
      </c>
      <c r="I847" s="1868" t="s">
        <v>194</v>
      </c>
      <c r="J847" s="1830" t="s">
        <v>750</v>
      </c>
      <c r="K847" s="1830"/>
      <c r="L847" s="1919" t="s">
        <v>194</v>
      </c>
      <c r="M847" s="1830" t="s">
        <v>1577</v>
      </c>
      <c r="N847" s="1830"/>
      <c r="O847" s="1830"/>
      <c r="P847" s="1919" t="s">
        <v>194</v>
      </c>
      <c r="Q847" s="1830" t="s">
        <v>1576</v>
      </c>
      <c r="R847" s="1830"/>
      <c r="S847" s="1830"/>
      <c r="T847" s="1919" t="s">
        <v>194</v>
      </c>
      <c r="U847" s="1830" t="s">
        <v>1575</v>
      </c>
      <c r="V847" s="1830"/>
      <c r="W847" s="1830"/>
      <c r="X847" s="1936"/>
      <c r="Y847" s="1914"/>
      <c r="Z847" s="1913"/>
      <c r="AA847" s="1913"/>
      <c r="AB847" s="1794"/>
      <c r="AC847" s="1912"/>
      <c r="AD847" s="1911"/>
      <c r="AE847" s="1911"/>
      <c r="AF847" s="1910"/>
      <c r="AI847" s="1735" t="str">
        <f>"55:"&amp;IF(AND(I847="□",L847="□",P847="□",T847="□"),"field236:0:field237:0:field238:0",IF(I847="■","field236:1:field237:1:field238:1",IF(L847="■","field236:2","field236:1")
&amp;IF(P847="■",":field237:2",":field237:1")
&amp;IF(T847="■",":field238:2",":field238:1")))</f>
        <v>55:field236:0:field237:0:field238:0</v>
      </c>
    </row>
    <row r="848" spans="1:35" s="1735" customFormat="1" ht="18.75" hidden="1" customHeight="1">
      <c r="A848" s="1766"/>
      <c r="B848" s="1765"/>
      <c r="C848" s="1916"/>
      <c r="D848" s="1915"/>
      <c r="E848" s="1762"/>
      <c r="F848" s="1761"/>
      <c r="G848" s="1762"/>
      <c r="H848" s="1783"/>
      <c r="I848" s="1819"/>
      <c r="J848" s="1781"/>
      <c r="K848" s="1781"/>
      <c r="L848" s="1818"/>
      <c r="M848" s="1781"/>
      <c r="N848" s="1781"/>
      <c r="O848" s="1781"/>
      <c r="P848" s="1818"/>
      <c r="Q848" s="1781"/>
      <c r="R848" s="1781"/>
      <c r="S848" s="1781"/>
      <c r="T848" s="1818"/>
      <c r="U848" s="1781"/>
      <c r="V848" s="1781"/>
      <c r="W848" s="1781"/>
      <c r="X848" s="1935"/>
      <c r="Y848" s="1914"/>
      <c r="Z848" s="1913"/>
      <c r="AA848" s="1913"/>
      <c r="AB848" s="1794"/>
      <c r="AC848" s="1912"/>
      <c r="AD848" s="1911"/>
      <c r="AE848" s="1911"/>
      <c r="AF848" s="1910"/>
    </row>
    <row r="849" spans="1:36" s="1735" customFormat="1" ht="18.75" hidden="1" customHeight="1">
      <c r="A849" s="1766"/>
      <c r="B849" s="1765"/>
      <c r="C849" s="1916"/>
      <c r="D849" s="1915"/>
      <c r="E849" s="1762"/>
      <c r="F849" s="1761"/>
      <c r="G849" s="1762"/>
      <c r="H849" s="1759" t="s">
        <v>1574</v>
      </c>
      <c r="I849" s="1758" t="s">
        <v>194</v>
      </c>
      <c r="J849" s="1756" t="s">
        <v>750</v>
      </c>
      <c r="K849" s="1755"/>
      <c r="L849" s="1757" t="s">
        <v>194</v>
      </c>
      <c r="M849" s="1756" t="s">
        <v>764</v>
      </c>
      <c r="N849" s="1771"/>
      <c r="O849" s="1768"/>
      <c r="P849" s="1768"/>
      <c r="Q849" s="1768"/>
      <c r="R849" s="1768"/>
      <c r="S849" s="1768"/>
      <c r="T849" s="1768"/>
      <c r="U849" s="1768"/>
      <c r="V849" s="1768"/>
      <c r="W849" s="1768"/>
      <c r="X849" s="1767"/>
      <c r="Y849" s="1914"/>
      <c r="Z849" s="1913"/>
      <c r="AA849" s="1913"/>
      <c r="AB849" s="1794"/>
      <c r="AC849" s="1912"/>
      <c r="AD849" s="1911"/>
      <c r="AE849" s="1911"/>
      <c r="AF849" s="1910"/>
      <c r="AI849" s="1735" t="str">
        <f>"55:ninti_riha_code:" &amp; IF(I849="■",1,IF(L849="■",2,0))</f>
        <v>55:ninti_riha_code:0</v>
      </c>
    </row>
    <row r="850" spans="1:36" s="1735" customFormat="1" ht="18.75" hidden="1" customHeight="1">
      <c r="A850" s="1766"/>
      <c r="B850" s="1765"/>
      <c r="C850" s="1916"/>
      <c r="D850" s="1915"/>
      <c r="E850" s="1762"/>
      <c r="F850" s="1761"/>
      <c r="G850" s="1762"/>
      <c r="H850" s="1769" t="s">
        <v>791</v>
      </c>
      <c r="I850" s="1773" t="s">
        <v>194</v>
      </c>
      <c r="J850" s="1754" t="s">
        <v>750</v>
      </c>
      <c r="K850" s="1754"/>
      <c r="L850" s="1772" t="s">
        <v>194</v>
      </c>
      <c r="M850" s="1754" t="s">
        <v>784</v>
      </c>
      <c r="N850" s="1754"/>
      <c r="O850" s="1772" t="s">
        <v>194</v>
      </c>
      <c r="P850" s="1754" t="s">
        <v>785</v>
      </c>
      <c r="Q850" s="1768"/>
      <c r="R850" s="1768"/>
      <c r="S850" s="1768"/>
      <c r="T850" s="1768"/>
      <c r="U850" s="1768"/>
      <c r="V850" s="1768"/>
      <c r="W850" s="1768"/>
      <c r="X850" s="1767"/>
      <c r="Y850" s="1914"/>
      <c r="Z850" s="1913"/>
      <c r="AA850" s="1913"/>
      <c r="AB850" s="1794"/>
      <c r="AC850" s="1912"/>
      <c r="AD850" s="1911"/>
      <c r="AE850" s="1911"/>
      <c r="AF850" s="1910"/>
      <c r="AI850" s="1735" t="str">
        <f>"55:ninti_senmoncare_code:" &amp; IF(I850="■",1,IF(O850="■",3,IF(L850="■",2,0)))</f>
        <v>55:ninti_senmoncare_code:0</v>
      </c>
    </row>
    <row r="851" spans="1:36" s="1735" customFormat="1" ht="18.75" hidden="1" customHeight="1">
      <c r="A851" s="1766"/>
      <c r="B851" s="1765"/>
      <c r="C851" s="1916"/>
      <c r="D851" s="1915"/>
      <c r="E851" s="1762"/>
      <c r="F851" s="1761"/>
      <c r="G851" s="1762"/>
      <c r="H851" s="1769" t="s">
        <v>792</v>
      </c>
      <c r="I851" s="1773" t="s">
        <v>194</v>
      </c>
      <c r="J851" s="1754" t="s">
        <v>750</v>
      </c>
      <c r="K851" s="1754"/>
      <c r="L851" s="1772" t="s">
        <v>194</v>
      </c>
      <c r="M851" s="1754" t="s">
        <v>784</v>
      </c>
      <c r="N851" s="1754"/>
      <c r="O851" s="1772" t="s">
        <v>194</v>
      </c>
      <c r="P851" s="1754" t="s">
        <v>785</v>
      </c>
      <c r="Q851" s="1789"/>
      <c r="R851" s="1789"/>
      <c r="S851" s="1789"/>
      <c r="T851" s="1789"/>
      <c r="U851" s="1789"/>
      <c r="V851" s="1789"/>
      <c r="W851" s="1789"/>
      <c r="X851" s="1918"/>
      <c r="Y851" s="1914"/>
      <c r="Z851" s="1913"/>
      <c r="AA851" s="1913"/>
      <c r="AB851" s="1794"/>
      <c r="AC851" s="1912"/>
      <c r="AD851" s="1911"/>
      <c r="AE851" s="1911"/>
      <c r="AF851" s="1910"/>
      <c r="AI851" s="1735" t="str">
        <f>"55:field228:" &amp; IF(I851="■",1,IF(L851="■",2,IF(O851="■",3,0)))</f>
        <v>55:field228:0</v>
      </c>
    </row>
    <row r="852" spans="1:36" s="1735" customFormat="1" ht="18.75" hidden="1" customHeight="1">
      <c r="A852" s="1766"/>
      <c r="B852" s="1765"/>
      <c r="C852" s="1916"/>
      <c r="D852" s="1915"/>
      <c r="E852" s="1762"/>
      <c r="F852" s="1761"/>
      <c r="G852" s="1762"/>
      <c r="H852" s="1769" t="s">
        <v>1573</v>
      </c>
      <c r="I852" s="1773" t="s">
        <v>194</v>
      </c>
      <c r="J852" s="1754" t="s">
        <v>750</v>
      </c>
      <c r="K852" s="1754"/>
      <c r="L852" s="1772" t="s">
        <v>194</v>
      </c>
      <c r="M852" s="1754" t="s">
        <v>784</v>
      </c>
      <c r="N852" s="1754"/>
      <c r="O852" s="1772" t="s">
        <v>194</v>
      </c>
      <c r="P852" s="1754" t="s">
        <v>785</v>
      </c>
      <c r="Q852" s="1768"/>
      <c r="R852" s="1771"/>
      <c r="S852" s="1771"/>
      <c r="T852" s="1771"/>
      <c r="U852" s="1771"/>
      <c r="V852" s="1771"/>
      <c r="W852" s="1771"/>
      <c r="X852" s="1770"/>
      <c r="Y852" s="1914"/>
      <c r="Z852" s="1913"/>
      <c r="AA852" s="1913"/>
      <c r="AB852" s="1794"/>
      <c r="AC852" s="1912"/>
      <c r="AD852" s="1911"/>
      <c r="AE852" s="1911"/>
      <c r="AF852" s="1910"/>
      <c r="AI852" s="1735" t="str">
        <f>"55:field164:" &amp; IF(I852="■",1,IF(L852="■",2,IF(O852="■",3,0)))</f>
        <v>55:field164:0</v>
      </c>
    </row>
    <row r="853" spans="1:36" s="1735" customFormat="1" ht="18.75" hidden="1" customHeight="1">
      <c r="A853" s="1766"/>
      <c r="B853" s="1765"/>
      <c r="C853" s="1916"/>
      <c r="D853" s="1915"/>
      <c r="E853" s="1762"/>
      <c r="F853" s="1761"/>
      <c r="G853" s="1762"/>
      <c r="H853" s="1777" t="s">
        <v>454</v>
      </c>
      <c r="I853" s="1758" t="s">
        <v>194</v>
      </c>
      <c r="J853" s="1756" t="s">
        <v>750</v>
      </c>
      <c r="K853" s="1755"/>
      <c r="L853" s="1757" t="s">
        <v>194</v>
      </c>
      <c r="M853" s="1756" t="s">
        <v>764</v>
      </c>
      <c r="N853" s="1771"/>
      <c r="O853" s="1768"/>
      <c r="P853" s="1768"/>
      <c r="Q853" s="1768"/>
      <c r="R853" s="1768"/>
      <c r="S853" s="1768"/>
      <c r="T853" s="1768"/>
      <c r="U853" s="1768"/>
      <c r="V853" s="1768"/>
      <c r="W853" s="1768"/>
      <c r="X853" s="1767"/>
      <c r="Y853" s="1914"/>
      <c r="Z853" s="1913"/>
      <c r="AA853" s="1913"/>
      <c r="AB853" s="1794"/>
      <c r="AC853" s="1912"/>
      <c r="AD853" s="1911"/>
      <c r="AE853" s="1911"/>
      <c r="AF853" s="1910"/>
      <c r="AI853" s="1735" t="str">
        <f>"55:field210:" &amp; IF(I853="■",1,IF(L853="■",2,0))</f>
        <v>55:field210:0</v>
      </c>
    </row>
    <row r="854" spans="1:36" s="1735" customFormat="1" ht="18.75" hidden="1" customHeight="1">
      <c r="A854" s="1766"/>
      <c r="B854" s="1765"/>
      <c r="C854" s="1916"/>
      <c r="D854" s="1915"/>
      <c r="E854" s="1762"/>
      <c r="F854" s="1761"/>
      <c r="G854" s="1762"/>
      <c r="H854" s="1769" t="s">
        <v>455</v>
      </c>
      <c r="I854" s="1758" t="s">
        <v>194</v>
      </c>
      <c r="J854" s="1756" t="s">
        <v>750</v>
      </c>
      <c r="K854" s="1755"/>
      <c r="L854" s="1757" t="s">
        <v>194</v>
      </c>
      <c r="M854" s="1756" t="s">
        <v>764</v>
      </c>
      <c r="N854" s="1771"/>
      <c r="O854" s="1768"/>
      <c r="P854" s="1768"/>
      <c r="Q854" s="1768"/>
      <c r="R854" s="1768"/>
      <c r="S854" s="1768"/>
      <c r="T854" s="1768"/>
      <c r="U854" s="1768"/>
      <c r="V854" s="1768"/>
      <c r="W854" s="1768"/>
      <c r="X854" s="1767"/>
      <c r="Y854" s="1914"/>
      <c r="Z854" s="1913"/>
      <c r="AA854" s="1913"/>
      <c r="AB854" s="1794"/>
      <c r="AC854" s="1912"/>
      <c r="AD854" s="1911"/>
      <c r="AE854" s="1911"/>
      <c r="AF854" s="1910"/>
      <c r="AI854" s="1735" t="str">
        <f>"55:field211:" &amp; IF(I854="■",1,IF(L854="■",2,0))</f>
        <v>55:field211:0</v>
      </c>
    </row>
    <row r="855" spans="1:36" s="1735" customFormat="1" ht="18.75" hidden="1" customHeight="1">
      <c r="A855" s="1766"/>
      <c r="B855" s="1765"/>
      <c r="C855" s="1916"/>
      <c r="D855" s="1915"/>
      <c r="E855" s="1762"/>
      <c r="F855" s="1761"/>
      <c r="G855" s="1762"/>
      <c r="H855" s="1769" t="s">
        <v>456</v>
      </c>
      <c r="I855" s="1758" t="s">
        <v>194</v>
      </c>
      <c r="J855" s="1756" t="s">
        <v>750</v>
      </c>
      <c r="K855" s="1755"/>
      <c r="L855" s="1757" t="s">
        <v>194</v>
      </c>
      <c r="M855" s="1756" t="s">
        <v>764</v>
      </c>
      <c r="N855" s="1771"/>
      <c r="O855" s="1768"/>
      <c r="P855" s="1768"/>
      <c r="Q855" s="1768"/>
      <c r="R855" s="1768"/>
      <c r="S855" s="1768"/>
      <c r="T855" s="1768"/>
      <c r="U855" s="1768"/>
      <c r="V855" s="1768"/>
      <c r="W855" s="1768"/>
      <c r="X855" s="1767"/>
      <c r="Y855" s="1914"/>
      <c r="Z855" s="1913"/>
      <c r="AA855" s="1913"/>
      <c r="AB855" s="1794"/>
      <c r="AC855" s="1912"/>
      <c r="AD855" s="1911"/>
      <c r="AE855" s="1911"/>
      <c r="AF855" s="1910"/>
      <c r="AI855" s="1735" t="str">
        <f>"55:field212:" &amp; IF(I855="■",1,IF(L855="■",2,0))</f>
        <v>55:field212:0</v>
      </c>
    </row>
    <row r="856" spans="1:36" s="1735" customFormat="1" ht="18.75" hidden="1" customHeight="1">
      <c r="A856" s="1766"/>
      <c r="B856" s="1765"/>
      <c r="C856" s="1916"/>
      <c r="D856" s="1915"/>
      <c r="E856" s="1762"/>
      <c r="F856" s="1761"/>
      <c r="G856" s="1762"/>
      <c r="H856" s="1769" t="s">
        <v>457</v>
      </c>
      <c r="I856" s="1758" t="s">
        <v>194</v>
      </c>
      <c r="J856" s="1756" t="s">
        <v>750</v>
      </c>
      <c r="K856" s="1755"/>
      <c r="L856" s="1757" t="s">
        <v>194</v>
      </c>
      <c r="M856" s="1756" t="s">
        <v>764</v>
      </c>
      <c r="N856" s="1771"/>
      <c r="O856" s="1768"/>
      <c r="P856" s="1768"/>
      <c r="Q856" s="1768"/>
      <c r="R856" s="1768"/>
      <c r="S856" s="1768"/>
      <c r="T856" s="1768"/>
      <c r="U856" s="1768"/>
      <c r="V856" s="1768"/>
      <c r="W856" s="1768"/>
      <c r="X856" s="1767"/>
      <c r="Y856" s="1914"/>
      <c r="Z856" s="1913"/>
      <c r="AA856" s="1913"/>
      <c r="AB856" s="1794"/>
      <c r="AC856" s="1912"/>
      <c r="AD856" s="1911"/>
      <c r="AE856" s="1911"/>
      <c r="AF856" s="1910"/>
      <c r="AI856" s="1735" t="str">
        <f>"55:field209:" &amp; IF(I856="■",1,IF(L856="■",2,0))</f>
        <v>55:field209:0</v>
      </c>
    </row>
    <row r="857" spans="1:36" s="1735" customFormat="1" ht="18.75" hidden="1" customHeight="1">
      <c r="A857" s="1766"/>
      <c r="B857" s="1765"/>
      <c r="C857" s="1916"/>
      <c r="D857" s="1915"/>
      <c r="E857" s="1762"/>
      <c r="F857" s="1761"/>
      <c r="G857" s="1762"/>
      <c r="H857" s="1769" t="s">
        <v>1124</v>
      </c>
      <c r="I857" s="1773" t="s">
        <v>194</v>
      </c>
      <c r="J857" s="1754" t="s">
        <v>750</v>
      </c>
      <c r="K857" s="1754"/>
      <c r="L857" s="1772" t="s">
        <v>194</v>
      </c>
      <c r="M857" s="1756" t="s">
        <v>764</v>
      </c>
      <c r="N857" s="1754"/>
      <c r="O857" s="1754"/>
      <c r="P857" s="1754"/>
      <c r="Q857" s="1789"/>
      <c r="R857" s="1789"/>
      <c r="S857" s="1789"/>
      <c r="T857" s="1789"/>
      <c r="U857" s="1789"/>
      <c r="V857" s="1789"/>
      <c r="W857" s="1789"/>
      <c r="X857" s="1918"/>
      <c r="Y857" s="1914"/>
      <c r="Z857" s="1913"/>
      <c r="AA857" s="1913"/>
      <c r="AB857" s="1794"/>
      <c r="AC857" s="1912"/>
      <c r="AD857" s="1911"/>
      <c r="AE857" s="1911"/>
      <c r="AF857" s="1910"/>
      <c r="AI857" s="1735" t="str">
        <f>"55:field226:" &amp; IF(I857="■",1,IF(L857="■",2,0))</f>
        <v>55:field226:0</v>
      </c>
    </row>
    <row r="858" spans="1:36" s="1735" customFormat="1" ht="18.75" hidden="1" customHeight="1">
      <c r="A858" s="1766"/>
      <c r="B858" s="1765"/>
      <c r="C858" s="1916"/>
      <c r="D858" s="1915"/>
      <c r="E858" s="1762"/>
      <c r="F858" s="1761"/>
      <c r="G858" s="1762"/>
      <c r="H858" s="1769" t="s">
        <v>1125</v>
      </c>
      <c r="I858" s="1773" t="s">
        <v>194</v>
      </c>
      <c r="J858" s="1754" t="s">
        <v>750</v>
      </c>
      <c r="K858" s="1754"/>
      <c r="L858" s="1772" t="s">
        <v>194</v>
      </c>
      <c r="M858" s="1756" t="s">
        <v>764</v>
      </c>
      <c r="N858" s="1754"/>
      <c r="O858" s="1754"/>
      <c r="P858" s="1754"/>
      <c r="Q858" s="1789"/>
      <c r="R858" s="1789"/>
      <c r="S858" s="1789"/>
      <c r="T858" s="1789"/>
      <c r="U858" s="1789"/>
      <c r="V858" s="1789"/>
      <c r="W858" s="1789"/>
      <c r="X858" s="1918"/>
      <c r="Y858" s="1914"/>
      <c r="Z858" s="1913"/>
      <c r="AA858" s="1913"/>
      <c r="AB858" s="1794"/>
      <c r="AC858" s="1912"/>
      <c r="AD858" s="1911"/>
      <c r="AE858" s="1911"/>
      <c r="AF858" s="1910"/>
      <c r="AI858" s="1735" t="str">
        <f>"55:field227:" &amp; IF(I858="■",1,IF(L858="■",2,0))</f>
        <v>55:field227:0</v>
      </c>
    </row>
    <row r="859" spans="1:36" s="1735" customFormat="1" ht="18.75" hidden="1" customHeight="1">
      <c r="A859" s="1766"/>
      <c r="B859" s="1765"/>
      <c r="C859" s="1916"/>
      <c r="D859" s="1915"/>
      <c r="E859" s="1762"/>
      <c r="F859" s="1761"/>
      <c r="G859" s="1762"/>
      <c r="H859" s="1917" t="s">
        <v>794</v>
      </c>
      <c r="I859" s="1773" t="s">
        <v>194</v>
      </c>
      <c r="J859" s="1754" t="s">
        <v>750</v>
      </c>
      <c r="K859" s="1754"/>
      <c r="L859" s="1772" t="s">
        <v>194</v>
      </c>
      <c r="M859" s="1754" t="s">
        <v>784</v>
      </c>
      <c r="N859" s="1754"/>
      <c r="O859" s="1772" t="s">
        <v>194</v>
      </c>
      <c r="P859" s="1754" t="s">
        <v>785</v>
      </c>
      <c r="Q859" s="1768"/>
      <c r="R859" s="1768"/>
      <c r="S859" s="1768"/>
      <c r="T859" s="1768"/>
      <c r="U859" s="1829"/>
      <c r="V859" s="1829"/>
      <c r="W859" s="1829"/>
      <c r="X859" s="1828"/>
      <c r="Y859" s="1914"/>
      <c r="Z859" s="1913"/>
      <c r="AA859" s="1913"/>
      <c r="AB859" s="1794"/>
      <c r="AC859" s="1912"/>
      <c r="AD859" s="1911"/>
      <c r="AE859" s="1911"/>
      <c r="AF859" s="1910"/>
      <c r="AI859" s="1735" t="str">
        <f>"55:field225:" &amp; IF(I859="■",1,IF(L859="■",2,IF(O859="■",3,0)))</f>
        <v>55:field225:0</v>
      </c>
    </row>
    <row r="860" spans="1:36" s="1735" customFormat="1" ht="18.75" hidden="1" customHeight="1">
      <c r="A860" s="1766"/>
      <c r="B860" s="1765"/>
      <c r="C860" s="1916"/>
      <c r="D860" s="1915"/>
      <c r="E860" s="1762"/>
      <c r="F860" s="1761"/>
      <c r="G860" s="1762"/>
      <c r="H860" s="1769" t="s">
        <v>795</v>
      </c>
      <c r="I860" s="1773" t="s">
        <v>194</v>
      </c>
      <c r="J860" s="1754" t="s">
        <v>750</v>
      </c>
      <c r="K860" s="1754"/>
      <c r="L860" s="1772" t="s">
        <v>194</v>
      </c>
      <c r="M860" s="1754" t="s">
        <v>796</v>
      </c>
      <c r="N860" s="1754"/>
      <c r="O860" s="1772" t="s">
        <v>194</v>
      </c>
      <c r="P860" s="1754" t="s">
        <v>797</v>
      </c>
      <c r="Q860" s="1771"/>
      <c r="R860" s="1772" t="s">
        <v>194</v>
      </c>
      <c r="S860" s="1754" t="s">
        <v>798</v>
      </c>
      <c r="T860" s="1754"/>
      <c r="U860" s="1771"/>
      <c r="V860" s="1771"/>
      <c r="W860" s="1771"/>
      <c r="X860" s="1770"/>
      <c r="Y860" s="1914"/>
      <c r="Z860" s="1913"/>
      <c r="AA860" s="1913"/>
      <c r="AB860" s="1794"/>
      <c r="AC860" s="1912"/>
      <c r="AD860" s="1911"/>
      <c r="AE860" s="1911"/>
      <c r="AF860" s="1910"/>
      <c r="AI860" s="1735" t="str">
        <f>"55:serteikyo_kyoka_code:" &amp; IF(I860="■",1,IF(L860="■",6,IF(O860="■",5,IF(R860="■",7,0))))</f>
        <v>55:serteikyo_kyoka_code:0</v>
      </c>
    </row>
    <row r="861" spans="1:36" s="1735" customFormat="1" ht="18.75" hidden="1" customHeight="1">
      <c r="A861" s="1752"/>
      <c r="B861" s="1751"/>
      <c r="C861" s="1750"/>
      <c r="D861" s="1749"/>
      <c r="E861" s="1748"/>
      <c r="F861" s="1747"/>
      <c r="G861" s="1808"/>
      <c r="H861" s="1909" t="s">
        <v>1553</v>
      </c>
      <c r="I861" s="1744" t="s">
        <v>194</v>
      </c>
      <c r="J861" s="1905" t="s">
        <v>750</v>
      </c>
      <c r="K861" s="1905"/>
      <c r="L861" s="1743" t="s">
        <v>194</v>
      </c>
      <c r="M861" s="1905" t="s">
        <v>1552</v>
      </c>
      <c r="N861" s="1908"/>
      <c r="O861" s="1743" t="s">
        <v>194</v>
      </c>
      <c r="P861" s="1907" t="s">
        <v>1551</v>
      </c>
      <c r="Q861" s="1906"/>
      <c r="R861" s="1743" t="s">
        <v>194</v>
      </c>
      <c r="S861" s="1905" t="s">
        <v>1550</v>
      </c>
      <c r="T861" s="1906"/>
      <c r="U861" s="1743" t="s">
        <v>194</v>
      </c>
      <c r="V861" s="1905" t="s">
        <v>1549</v>
      </c>
      <c r="W861" s="1904"/>
      <c r="X861" s="1903"/>
      <c r="Y861" s="1902"/>
      <c r="Z861" s="1902"/>
      <c r="AA861" s="1902"/>
      <c r="AB861" s="1901"/>
      <c r="AC861" s="1900"/>
      <c r="AD861" s="1899"/>
      <c r="AE861" s="1899"/>
      <c r="AF861" s="1898"/>
      <c r="AI861" s="1735" t="str">
        <f>"55:shoguukaizen_code:"&amp;IF(I861="■",1,IF(L861="■",7,IF(O861="■",8,IF(R861="■",9,IF(U861="■","A",0)))))</f>
        <v>55:shoguukaizen_code:0</v>
      </c>
    </row>
    <row r="862" spans="1:36" s="1735" customFormat="1" ht="18.75" hidden="1" customHeight="1">
      <c r="A862" s="1807"/>
      <c r="B862" s="1806"/>
      <c r="C862" s="1934"/>
      <c r="D862" s="1933"/>
      <c r="E862" s="1804"/>
      <c r="F862" s="1803"/>
      <c r="G862" s="1804"/>
      <c r="H862" s="1885" t="s">
        <v>746</v>
      </c>
      <c r="I862" s="1873" t="s">
        <v>194</v>
      </c>
      <c r="J862" s="1872" t="s">
        <v>747</v>
      </c>
      <c r="K862" s="1932"/>
      <c r="L862" s="1930"/>
      <c r="M862" s="1931" t="s">
        <v>194</v>
      </c>
      <c r="N862" s="1872" t="s">
        <v>1572</v>
      </c>
      <c r="O862" s="1930"/>
      <c r="P862" s="1930"/>
      <c r="Q862" s="1931" t="s">
        <v>194</v>
      </c>
      <c r="R862" s="1872" t="s">
        <v>1571</v>
      </c>
      <c r="S862" s="1930"/>
      <c r="T862" s="1930"/>
      <c r="U862" s="1931" t="s">
        <v>194</v>
      </c>
      <c r="V862" s="1872" t="s">
        <v>1570</v>
      </c>
      <c r="W862" s="1930"/>
      <c r="X862" s="1886"/>
      <c r="Y862" s="1873" t="s">
        <v>194</v>
      </c>
      <c r="Z862" s="1872" t="s">
        <v>749</v>
      </c>
      <c r="AA862" s="1872"/>
      <c r="AB862" s="1929"/>
      <c r="AC862" s="1928"/>
      <c r="AD862" s="1927"/>
      <c r="AE862" s="1927"/>
      <c r="AF862" s="1926"/>
      <c r="AG862" s="1735" t="str">
        <f>"ser_code = '" &amp; IF(A879="■",55,"") &amp; "'"</f>
        <v>ser_code = ''</v>
      </c>
      <c r="AH862" s="1735" t="str">
        <f>"55:jininkbn_code:" &amp; IF(F878="■",1,IF(F879="■",2,IF(F880="■",3,0)))</f>
        <v>55:jininkbn_code:0</v>
      </c>
      <c r="AI862" s="1735" t="str">
        <f>"55:yakan_kinmu_code:" &amp; IF(I862="■",1,IF(M862="■",2,IF(Q862="■",3,IF(U862="■",7,IF(I863="■",5,IF(M863="■",6,0))))))</f>
        <v>55:yakan_kinmu_code:0</v>
      </c>
      <c r="AJ862" s="1735" t="str">
        <f>"55:field203:" &amp; IF(Y862="■",1,IF(Y863="■",2,0))</f>
        <v>55:field203:0</v>
      </c>
    </row>
    <row r="863" spans="1:36" s="1735" customFormat="1" ht="18.75" hidden="1" customHeight="1">
      <c r="A863" s="1766"/>
      <c r="B863" s="1765"/>
      <c r="C863" s="1916"/>
      <c r="D863" s="1915"/>
      <c r="E863" s="1762"/>
      <c r="F863" s="1761"/>
      <c r="G863" s="1762"/>
      <c r="H863" s="1921"/>
      <c r="I863" s="1758" t="s">
        <v>194</v>
      </c>
      <c r="J863" s="1756" t="s">
        <v>1569</v>
      </c>
      <c r="K863" s="1755"/>
      <c r="L863" s="1780"/>
      <c r="M863" s="1757" t="s">
        <v>194</v>
      </c>
      <c r="N863" s="1756" t="s">
        <v>748</v>
      </c>
      <c r="O863" s="1780"/>
      <c r="P863" s="1780"/>
      <c r="Q863" s="1780"/>
      <c r="R863" s="1780"/>
      <c r="S863" s="1780"/>
      <c r="T863" s="1780"/>
      <c r="U863" s="1780"/>
      <c r="V863" s="1780"/>
      <c r="W863" s="1780"/>
      <c r="X863" s="1779"/>
      <c r="Y863" s="1776" t="s">
        <v>194</v>
      </c>
      <c r="Z863" s="1738" t="s">
        <v>754</v>
      </c>
      <c r="AA863" s="1913"/>
      <c r="AB863" s="1794"/>
      <c r="AC863" s="1912"/>
      <c r="AD863" s="1911"/>
      <c r="AE863" s="1911"/>
      <c r="AF863" s="1910"/>
      <c r="AG863" s="1735" t="str">
        <f>"55:sisetukbn_code:" &amp; IF(D879="■",2,0)</f>
        <v>55:sisetukbn_code:0</v>
      </c>
    </row>
    <row r="864" spans="1:36" s="1735" customFormat="1" ht="18.75" hidden="1" customHeight="1">
      <c r="A864" s="1766"/>
      <c r="B864" s="1765"/>
      <c r="C864" s="1916"/>
      <c r="D864" s="1915"/>
      <c r="E864" s="1762"/>
      <c r="F864" s="1761"/>
      <c r="G864" s="1762"/>
      <c r="H864" s="1925" t="s">
        <v>98</v>
      </c>
      <c r="I864" s="1924" t="s">
        <v>194</v>
      </c>
      <c r="J864" s="1923" t="s">
        <v>750</v>
      </c>
      <c r="K864" s="1923"/>
      <c r="L864" s="1785"/>
      <c r="M864" s="1922" t="s">
        <v>194</v>
      </c>
      <c r="N864" s="1923" t="s">
        <v>1568</v>
      </c>
      <c r="O864" s="1923"/>
      <c r="P864" s="1785"/>
      <c r="Q864" s="1922" t="s">
        <v>194</v>
      </c>
      <c r="R864" s="1785" t="s">
        <v>1567</v>
      </c>
      <c r="S864" s="1785"/>
      <c r="T864" s="1785"/>
      <c r="U864" s="1922" t="s">
        <v>194</v>
      </c>
      <c r="V864" s="1785" t="s">
        <v>1566</v>
      </c>
      <c r="W864" s="1829"/>
      <c r="X864" s="1828"/>
      <c r="Y864" s="1914"/>
      <c r="Z864" s="1913"/>
      <c r="AA864" s="1913"/>
      <c r="AB864" s="1794"/>
      <c r="AC864" s="1912"/>
      <c r="AD864" s="1911"/>
      <c r="AE864" s="1911"/>
      <c r="AF864" s="1910"/>
      <c r="AI864" s="1735" t="str">
        <f>"55:"&amp;IF(AND(I864="□",M864="□",Q864="□",U864="□",I865="□",M865="□"),"ketu_doctor_code:0",IF(I864="■","ketu_doctor_code:1:field197:1:ketu_kangos_code:1:ketu_kshoku_code:1:ketu_ksiensou_code:1",IF(M864="■","ketu_doctor_code:2","ketu_doctor_code:1")
&amp;IF(Q864="■",":field197:2",":field197:1")
&amp;IF(U864="■",":ketu_kangos_code:2",":ketu_kangos_code:1")
&amp;IF(I865="■",":ketu_kshoku_code:2",":ketu_kshoku_code:1")
&amp;IF(M865="■",":ketu_ksiensou_code:2",":ketu_ksiensou_code:1")))</f>
        <v>55:ketu_doctor_code:0</v>
      </c>
    </row>
    <row r="865" spans="1:35" s="1735" customFormat="1" ht="18.75" hidden="1" customHeight="1">
      <c r="A865" s="1766"/>
      <c r="B865" s="1765"/>
      <c r="C865" s="1916"/>
      <c r="D865" s="1915"/>
      <c r="E865" s="1762"/>
      <c r="F865" s="1761"/>
      <c r="G865" s="1762"/>
      <c r="H865" s="1921"/>
      <c r="I865" s="1758" t="s">
        <v>194</v>
      </c>
      <c r="J865" s="1780" t="s">
        <v>1565</v>
      </c>
      <c r="K865" s="1756"/>
      <c r="L865" s="1780"/>
      <c r="M865" s="1757" t="s">
        <v>194</v>
      </c>
      <c r="N865" s="1756" t="s">
        <v>1564</v>
      </c>
      <c r="O865" s="1756"/>
      <c r="P865" s="1780"/>
      <c r="Q865" s="1780"/>
      <c r="R865" s="1780"/>
      <c r="S865" s="1780"/>
      <c r="T865" s="1780"/>
      <c r="U865" s="1780"/>
      <c r="V865" s="1780"/>
      <c r="W865" s="1827"/>
      <c r="X865" s="1826"/>
      <c r="Y865" s="1914"/>
      <c r="Z865" s="1913"/>
      <c r="AA865" s="1913"/>
      <c r="AB865" s="1794"/>
      <c r="AC865" s="1912"/>
      <c r="AD865" s="1911"/>
      <c r="AE865" s="1911"/>
      <c r="AF865" s="1910"/>
    </row>
    <row r="866" spans="1:35" s="1735" customFormat="1" ht="18.75" hidden="1" customHeight="1">
      <c r="A866" s="1766"/>
      <c r="B866" s="1765"/>
      <c r="C866" s="1916"/>
      <c r="D866" s="1915"/>
      <c r="E866" s="1762"/>
      <c r="F866" s="1761"/>
      <c r="G866" s="1762"/>
      <c r="H866" s="1769" t="s">
        <v>757</v>
      </c>
      <c r="I866" s="1773" t="s">
        <v>194</v>
      </c>
      <c r="J866" s="1754" t="s">
        <v>758</v>
      </c>
      <c r="K866" s="1789"/>
      <c r="L866" s="1791"/>
      <c r="M866" s="1772" t="s">
        <v>194</v>
      </c>
      <c r="N866" s="1754" t="s">
        <v>759</v>
      </c>
      <c r="O866" s="1768"/>
      <c r="P866" s="1768"/>
      <c r="Q866" s="1789"/>
      <c r="R866" s="1789"/>
      <c r="S866" s="1789"/>
      <c r="T866" s="1789"/>
      <c r="U866" s="1789"/>
      <c r="V866" s="1789"/>
      <c r="W866" s="1789"/>
      <c r="X866" s="1918"/>
      <c r="Y866" s="1914"/>
      <c r="Z866" s="1913"/>
      <c r="AA866" s="1913"/>
      <c r="AB866" s="1794"/>
      <c r="AC866" s="1912"/>
      <c r="AD866" s="1911"/>
      <c r="AE866" s="1911"/>
      <c r="AF866" s="1910"/>
      <c r="AI866" s="1735" t="str">
        <f>"55:sintaikousoku_code:" &amp; IF(I866="■",1,IF(M866="■",2,0))</f>
        <v>55:sintaikousoku_code:0</v>
      </c>
    </row>
    <row r="867" spans="1:35" s="1735" customFormat="1" ht="18.75" hidden="1" customHeight="1">
      <c r="A867" s="1766"/>
      <c r="B867" s="1765"/>
      <c r="C867" s="1916"/>
      <c r="D867" s="1915"/>
      <c r="E867" s="1762"/>
      <c r="F867" s="1761"/>
      <c r="G867" s="1762"/>
      <c r="H867" s="1769" t="s">
        <v>448</v>
      </c>
      <c r="I867" s="1773" t="s">
        <v>194</v>
      </c>
      <c r="J867" s="1754" t="s">
        <v>758</v>
      </c>
      <c r="K867" s="1789"/>
      <c r="L867" s="1791"/>
      <c r="M867" s="1772" t="s">
        <v>194</v>
      </c>
      <c r="N867" s="1754" t="s">
        <v>759</v>
      </c>
      <c r="O867" s="1768"/>
      <c r="P867" s="1768"/>
      <c r="Q867" s="1789"/>
      <c r="R867" s="1789"/>
      <c r="S867" s="1789"/>
      <c r="T867" s="1789"/>
      <c r="U867" s="1789"/>
      <c r="V867" s="1789"/>
      <c r="W867" s="1789"/>
      <c r="X867" s="1918"/>
      <c r="Y867" s="1914"/>
      <c r="Z867" s="1913"/>
      <c r="AA867" s="1913"/>
      <c r="AB867" s="1794"/>
      <c r="AC867" s="1912"/>
      <c r="AD867" s="1911"/>
      <c r="AE867" s="1911"/>
      <c r="AF867" s="1910"/>
      <c r="AI867" s="1735" t="str">
        <f>"55:field208:" &amp; IF(I867="■",1,IF(M867="■",2,0))</f>
        <v>55:field208:0</v>
      </c>
    </row>
    <row r="868" spans="1:35" s="1735" customFormat="1" ht="19.5" hidden="1" customHeight="1">
      <c r="A868" s="1766"/>
      <c r="B868" s="1765"/>
      <c r="C868" s="1764"/>
      <c r="D868" s="1763"/>
      <c r="E868" s="1762"/>
      <c r="F868" s="1761"/>
      <c r="G868" s="1793"/>
      <c r="H868" s="1792" t="s">
        <v>760</v>
      </c>
      <c r="I868" s="1773" t="s">
        <v>194</v>
      </c>
      <c r="J868" s="1754" t="s">
        <v>758</v>
      </c>
      <c r="K868" s="1789"/>
      <c r="L868" s="1791"/>
      <c r="M868" s="1772" t="s">
        <v>194</v>
      </c>
      <c r="N868" s="1754" t="s">
        <v>761</v>
      </c>
      <c r="O868" s="1920"/>
      <c r="P868" s="1754"/>
      <c r="Q868" s="1768"/>
      <c r="R868" s="1768"/>
      <c r="S868" s="1768"/>
      <c r="T868" s="1768"/>
      <c r="U868" s="1768"/>
      <c r="V868" s="1768"/>
      <c r="W868" s="1768"/>
      <c r="X868" s="1767"/>
      <c r="Y868" s="1913"/>
      <c r="Z868" s="1913"/>
      <c r="AA868" s="1913"/>
      <c r="AB868" s="1794"/>
      <c r="AC868" s="1912"/>
      <c r="AD868" s="1911"/>
      <c r="AE868" s="1911"/>
      <c r="AF868" s="1910"/>
      <c r="AI868" s="1735" t="str">
        <f>"55:field223:" &amp; IF(I868="■",1,IF(M868="■",2,0))</f>
        <v>55:field223:0</v>
      </c>
    </row>
    <row r="869" spans="1:35" s="1735" customFormat="1" ht="19.5" hidden="1" customHeight="1">
      <c r="A869" s="1766"/>
      <c r="B869" s="1765"/>
      <c r="C869" s="1764"/>
      <c r="D869" s="1763"/>
      <c r="E869" s="1762"/>
      <c r="F869" s="1761"/>
      <c r="G869" s="1793"/>
      <c r="H869" s="1792" t="s">
        <v>762</v>
      </c>
      <c r="I869" s="1773" t="s">
        <v>194</v>
      </c>
      <c r="J869" s="1754" t="s">
        <v>758</v>
      </c>
      <c r="K869" s="1789"/>
      <c r="L869" s="1791"/>
      <c r="M869" s="1772" t="s">
        <v>194</v>
      </c>
      <c r="N869" s="1754" t="s">
        <v>761</v>
      </c>
      <c r="O869" s="1920"/>
      <c r="P869" s="1754"/>
      <c r="Q869" s="1768"/>
      <c r="R869" s="1768"/>
      <c r="S869" s="1768"/>
      <c r="T869" s="1768"/>
      <c r="U869" s="1768"/>
      <c r="V869" s="1768"/>
      <c r="W869" s="1768"/>
      <c r="X869" s="1767"/>
      <c r="Y869" s="1913"/>
      <c r="Z869" s="1913"/>
      <c r="AA869" s="1913"/>
      <c r="AB869" s="1794"/>
      <c r="AC869" s="1912"/>
      <c r="AD869" s="1911"/>
      <c r="AE869" s="1911"/>
      <c r="AF869" s="1910"/>
      <c r="AI869" s="1735" t="str">
        <f>"55:field232:" &amp; IF(I869="■",1,IF(M869="■",2,0))</f>
        <v>55:field232:0</v>
      </c>
    </row>
    <row r="870" spans="1:35" s="1735" customFormat="1" ht="18.75" hidden="1" customHeight="1">
      <c r="A870" s="1766"/>
      <c r="B870" s="1765"/>
      <c r="C870" s="1916"/>
      <c r="D870" s="1915"/>
      <c r="E870" s="1762"/>
      <c r="F870" s="1761"/>
      <c r="G870" s="1762"/>
      <c r="H870" s="1788" t="s">
        <v>763</v>
      </c>
      <c r="I870" s="1868" t="s">
        <v>194</v>
      </c>
      <c r="J870" s="1830" t="s">
        <v>750</v>
      </c>
      <c r="K870" s="1830"/>
      <c r="L870" s="1919" t="s">
        <v>194</v>
      </c>
      <c r="M870" s="1830" t="s">
        <v>764</v>
      </c>
      <c r="N870" s="1830"/>
      <c r="O870" s="1785"/>
      <c r="P870" s="1785"/>
      <c r="Q870" s="1785"/>
      <c r="R870" s="1785"/>
      <c r="S870" s="1785"/>
      <c r="T870" s="1785"/>
      <c r="U870" s="1785"/>
      <c r="V870" s="1785"/>
      <c r="W870" s="1785"/>
      <c r="X870" s="1784"/>
      <c r="Y870" s="1914"/>
      <c r="Z870" s="1913"/>
      <c r="AA870" s="1913"/>
      <c r="AB870" s="1794"/>
      <c r="AC870" s="1912"/>
      <c r="AD870" s="1911"/>
      <c r="AE870" s="1911"/>
      <c r="AF870" s="1910"/>
      <c r="AI870" s="1735" t="str">
        <f>"55:field206:" &amp; IF(I870="■",1,IF(L870="■",2,0))</f>
        <v>55:field206:0</v>
      </c>
    </row>
    <row r="871" spans="1:35" s="1735" customFormat="1" ht="18.75" hidden="1" customHeight="1">
      <c r="A871" s="1766"/>
      <c r="B871" s="1765"/>
      <c r="C871" s="1916"/>
      <c r="D871" s="1915"/>
      <c r="E871" s="1762"/>
      <c r="F871" s="1761"/>
      <c r="G871" s="1762"/>
      <c r="H871" s="1783"/>
      <c r="I871" s="1819"/>
      <c r="J871" s="1781"/>
      <c r="K871" s="1781"/>
      <c r="L871" s="1818"/>
      <c r="M871" s="1781"/>
      <c r="N871" s="1781"/>
      <c r="O871" s="1780"/>
      <c r="P871" s="1780"/>
      <c r="Q871" s="1780"/>
      <c r="R871" s="1780"/>
      <c r="S871" s="1780"/>
      <c r="T871" s="1780"/>
      <c r="U871" s="1780"/>
      <c r="V871" s="1780"/>
      <c r="W871" s="1780"/>
      <c r="X871" s="1779"/>
      <c r="Y871" s="1914"/>
      <c r="Z871" s="1913"/>
      <c r="AA871" s="1913"/>
      <c r="AB871" s="1794"/>
      <c r="AC871" s="1912"/>
      <c r="AD871" s="1911"/>
      <c r="AE871" s="1911"/>
      <c r="AF871" s="1910"/>
    </row>
    <row r="872" spans="1:35" s="1735" customFormat="1" ht="18.75" hidden="1" customHeight="1">
      <c r="A872" s="1766"/>
      <c r="B872" s="1765"/>
      <c r="C872" s="1916"/>
      <c r="D872" s="1915"/>
      <c r="E872" s="1762"/>
      <c r="F872" s="1761"/>
      <c r="G872" s="1762"/>
      <c r="H872" s="1769" t="s">
        <v>1560</v>
      </c>
      <c r="I872" s="1773" t="s">
        <v>194</v>
      </c>
      <c r="J872" s="1754" t="s">
        <v>1557</v>
      </c>
      <c r="K872" s="1789"/>
      <c r="L872" s="1791"/>
      <c r="M872" s="1772" t="s">
        <v>194</v>
      </c>
      <c r="N872" s="1754" t="s">
        <v>1556</v>
      </c>
      <c r="O872" s="1768"/>
      <c r="P872" s="1768"/>
      <c r="Q872" s="1789"/>
      <c r="R872" s="1789"/>
      <c r="S872" s="1789"/>
      <c r="T872" s="1789"/>
      <c r="U872" s="1789"/>
      <c r="V872" s="1789"/>
      <c r="W872" s="1789"/>
      <c r="X872" s="1918"/>
      <c r="Y872" s="1914"/>
      <c r="Z872" s="1913"/>
      <c r="AA872" s="1913"/>
      <c r="AB872" s="1794"/>
      <c r="AC872" s="1912"/>
      <c r="AD872" s="1911"/>
      <c r="AE872" s="1911"/>
      <c r="AF872" s="1910"/>
      <c r="AI872" s="1735" t="str">
        <f>"55:field190:" &amp; IF(I872="■",1,IF(M872="■",2,0))</f>
        <v>55:field190:0</v>
      </c>
    </row>
    <row r="873" spans="1:35" s="1735" customFormat="1" ht="18.75" hidden="1" customHeight="1">
      <c r="A873" s="1766"/>
      <c r="B873" s="1765"/>
      <c r="C873" s="1916"/>
      <c r="D873" s="1915"/>
      <c r="E873" s="1762"/>
      <c r="F873" s="1761"/>
      <c r="G873" s="1762"/>
      <c r="H873" s="1769" t="s">
        <v>1558</v>
      </c>
      <c r="I873" s="1773" t="s">
        <v>194</v>
      </c>
      <c r="J873" s="1754" t="s">
        <v>1557</v>
      </c>
      <c r="K873" s="1789"/>
      <c r="L873" s="1791"/>
      <c r="M873" s="1772" t="s">
        <v>194</v>
      </c>
      <c r="N873" s="1754" t="s">
        <v>1556</v>
      </c>
      <c r="O873" s="1768"/>
      <c r="P873" s="1768"/>
      <c r="Q873" s="1789"/>
      <c r="R873" s="1789"/>
      <c r="S873" s="1789"/>
      <c r="T873" s="1789"/>
      <c r="U873" s="1789"/>
      <c r="V873" s="1789"/>
      <c r="W873" s="1789"/>
      <c r="X873" s="1918"/>
      <c r="Y873" s="1914"/>
      <c r="Z873" s="1913"/>
      <c r="AA873" s="1913"/>
      <c r="AB873" s="1794"/>
      <c r="AC873" s="1912"/>
      <c r="AD873" s="1911"/>
      <c r="AE873" s="1911"/>
      <c r="AF873" s="1910"/>
      <c r="AI873" s="1735" t="str">
        <f>"55:field191:" &amp; IF(I873="■",1,IF(M873="■",2,0))</f>
        <v>55:field191:0</v>
      </c>
    </row>
    <row r="874" spans="1:35" s="835" customFormat="1" ht="19.5" hidden="1" customHeight="1">
      <c r="A874" s="338"/>
      <c r="B874" s="833"/>
      <c r="C874" s="341"/>
      <c r="D874" s="834"/>
      <c r="E874" s="836"/>
      <c r="F874" s="832"/>
      <c r="G874" s="385"/>
      <c r="H874" s="1945" t="s">
        <v>1597</v>
      </c>
      <c r="I874" s="1773" t="s">
        <v>194</v>
      </c>
      <c r="J874" s="1941" t="s">
        <v>1595</v>
      </c>
      <c r="K874" s="1944"/>
      <c r="L874" s="1943"/>
      <c r="M874" s="1772" t="s">
        <v>194</v>
      </c>
      <c r="N874" s="1941" t="s">
        <v>1594</v>
      </c>
      <c r="O874" s="1942"/>
      <c r="P874" s="1941"/>
      <c r="Q874" s="1940"/>
      <c r="R874" s="1940"/>
      <c r="S874" s="1940"/>
      <c r="T874" s="1940"/>
      <c r="U874" s="1940"/>
      <c r="V874" s="1940"/>
      <c r="W874" s="1940"/>
      <c r="X874" s="1939"/>
      <c r="Y874" s="557"/>
      <c r="Z874" s="2"/>
      <c r="AA874" s="837"/>
      <c r="AB874" s="339"/>
      <c r="AC874" s="1912"/>
      <c r="AD874" s="1911"/>
      <c r="AE874" s="1911"/>
      <c r="AF874" s="1910"/>
      <c r="AI874" s="1735" t="str">
        <f>"55:field242:" &amp; IF(I874="■",1,IF(M874="■",2,0))</f>
        <v>55:field242:0</v>
      </c>
    </row>
    <row r="875" spans="1:35" s="1735" customFormat="1" ht="18.75" hidden="1" customHeight="1">
      <c r="A875" s="1766"/>
      <c r="B875" s="1765"/>
      <c r="C875" s="1916"/>
      <c r="D875" s="1915"/>
      <c r="E875" s="1762"/>
      <c r="F875" s="1761"/>
      <c r="G875" s="1762"/>
      <c r="H875" s="1769" t="s">
        <v>1555</v>
      </c>
      <c r="I875" s="1758" t="s">
        <v>194</v>
      </c>
      <c r="J875" s="1756" t="s">
        <v>750</v>
      </c>
      <c r="K875" s="1755"/>
      <c r="L875" s="1757" t="s">
        <v>194</v>
      </c>
      <c r="M875" s="1756" t="s">
        <v>764</v>
      </c>
      <c r="N875" s="1771"/>
      <c r="O875" s="1768"/>
      <c r="P875" s="1789"/>
      <c r="Q875" s="1789"/>
      <c r="R875" s="1789"/>
      <c r="S875" s="1789"/>
      <c r="T875" s="1789"/>
      <c r="U875" s="1789"/>
      <c r="V875" s="1789"/>
      <c r="W875" s="1789"/>
      <c r="X875" s="1918"/>
      <c r="Y875" s="1914"/>
      <c r="Z875" s="1913"/>
      <c r="AA875" s="1913"/>
      <c r="AB875" s="1794"/>
      <c r="AC875" s="1912"/>
      <c r="AD875" s="1911"/>
      <c r="AE875" s="1911"/>
      <c r="AF875" s="1910"/>
      <c r="AI875" s="1735" t="str">
        <f>"55:jyakuninti_uke_code:" &amp; IF(I875="■",1,IF(L875="■",2,0))</f>
        <v>55:jyakuninti_uke_code:0</v>
      </c>
    </row>
    <row r="876" spans="1:35" s="1735" customFormat="1" ht="18.75" hidden="1" customHeight="1">
      <c r="A876" s="1766"/>
      <c r="B876" s="1765"/>
      <c r="C876" s="1916"/>
      <c r="D876" s="1915"/>
      <c r="E876" s="1762"/>
      <c r="F876" s="1761"/>
      <c r="G876" s="1762"/>
      <c r="H876" s="1769" t="s">
        <v>786</v>
      </c>
      <c r="I876" s="1758" t="s">
        <v>194</v>
      </c>
      <c r="J876" s="1756" t="s">
        <v>750</v>
      </c>
      <c r="K876" s="1755"/>
      <c r="L876" s="1757" t="s">
        <v>194</v>
      </c>
      <c r="M876" s="1756" t="s">
        <v>764</v>
      </c>
      <c r="N876" s="1771"/>
      <c r="O876" s="1768"/>
      <c r="P876" s="1789"/>
      <c r="Q876" s="1789"/>
      <c r="R876" s="1789"/>
      <c r="S876" s="1789"/>
      <c r="T876" s="1789"/>
      <c r="U876" s="1789"/>
      <c r="V876" s="1789"/>
      <c r="W876" s="1789"/>
      <c r="X876" s="1918"/>
      <c r="Y876" s="1914"/>
      <c r="Z876" s="1913"/>
      <c r="AA876" s="1913"/>
      <c r="AB876" s="1794"/>
      <c r="AC876" s="1912"/>
      <c r="AD876" s="1911"/>
      <c r="AE876" s="1911"/>
      <c r="AF876" s="1910"/>
      <c r="AI876" s="1735" t="str">
        <f>"55:field207:" &amp; IF(I876="■",1,IF(L876="■",2,0))</f>
        <v>55:field207:0</v>
      </c>
    </row>
    <row r="877" spans="1:35" s="1735" customFormat="1" ht="18.75" hidden="1" customHeight="1">
      <c r="A877" s="1766"/>
      <c r="B877" s="1765"/>
      <c r="C877" s="1916"/>
      <c r="D877" s="1915"/>
      <c r="E877" s="1762"/>
      <c r="F877" s="1761"/>
      <c r="G877" s="1762"/>
      <c r="H877" s="1769" t="s">
        <v>787</v>
      </c>
      <c r="I877" s="1758" t="s">
        <v>194</v>
      </c>
      <c r="J877" s="1756" t="s">
        <v>750</v>
      </c>
      <c r="K877" s="1755"/>
      <c r="L877" s="1757" t="s">
        <v>194</v>
      </c>
      <c r="M877" s="1756" t="s">
        <v>764</v>
      </c>
      <c r="N877" s="1771"/>
      <c r="O877" s="1768"/>
      <c r="P877" s="1789"/>
      <c r="Q877" s="1789"/>
      <c r="R877" s="1789"/>
      <c r="S877" s="1789"/>
      <c r="T877" s="1789"/>
      <c r="U877" s="1789"/>
      <c r="V877" s="1789"/>
      <c r="W877" s="1789"/>
      <c r="X877" s="1918"/>
      <c r="Y877" s="1914"/>
      <c r="Z877" s="1913"/>
      <c r="AA877" s="1913"/>
      <c r="AB877" s="1794"/>
      <c r="AC877" s="1912"/>
      <c r="AD877" s="1911"/>
      <c r="AE877" s="1911"/>
      <c r="AF877" s="1910"/>
      <c r="AI877" s="1735" t="str">
        <f>"55:ryouyoushoku_code:" &amp; IF(I877="■",1,IF(L877="■",2,0))</f>
        <v>55:ryouyoushoku_code:0</v>
      </c>
    </row>
    <row r="878" spans="1:35" s="1735" customFormat="1" ht="18.75" hidden="1" customHeight="1">
      <c r="A878" s="1766"/>
      <c r="B878" s="1765"/>
      <c r="C878" s="1916"/>
      <c r="D878" s="1915"/>
      <c r="E878" s="1762"/>
      <c r="F878" s="1776" t="s">
        <v>194</v>
      </c>
      <c r="G878" s="1762" t="s">
        <v>1603</v>
      </c>
      <c r="H878" s="1925" t="s">
        <v>1590</v>
      </c>
      <c r="I878" s="1924" t="s">
        <v>194</v>
      </c>
      <c r="J878" s="1923" t="s">
        <v>1589</v>
      </c>
      <c r="K878" s="1923"/>
      <c r="L878" s="1829"/>
      <c r="M878" s="1829"/>
      <c r="N878" s="1829"/>
      <c r="O878" s="1829"/>
      <c r="P878" s="1922" t="s">
        <v>194</v>
      </c>
      <c r="Q878" s="1923" t="s">
        <v>1588</v>
      </c>
      <c r="R878" s="1829"/>
      <c r="S878" s="1829"/>
      <c r="T878" s="1829"/>
      <c r="U878" s="1829"/>
      <c r="V878" s="1829"/>
      <c r="W878" s="1829"/>
      <c r="X878" s="1828"/>
      <c r="Y878" s="1914"/>
      <c r="Z878" s="1913"/>
      <c r="AA878" s="1913"/>
      <c r="AB878" s="1794"/>
      <c r="AC878" s="1912"/>
      <c r="AD878" s="1911"/>
      <c r="AE878" s="1911"/>
      <c r="AF878" s="1910"/>
      <c r="AI878" s="1735" t="str">
        <f>"55:" &amp; IF(AND(I878="□",P878="□",I879="□"),"tokusin_jyusho_code:0:tokusin_yakuzai_code:0:shuudan_comu_code:0",IF(I878="■","tokusin_jyusho_code:2","tokusin_jyusho_code:1")
&amp;IF(P878="■",":tokusin_yakuzai_code:2",":tokusin_yakuzai_code:1")
&amp;IF(I879="■",":shuudan_comu_code:2",":shuudan_comu_code:1"))</f>
        <v>55:tokusin_jyusho_code:0:tokusin_yakuzai_code:0:shuudan_comu_code:0</v>
      </c>
    </row>
    <row r="879" spans="1:35" s="1735" customFormat="1" ht="18.75" hidden="1" customHeight="1">
      <c r="A879" s="1776" t="s">
        <v>194</v>
      </c>
      <c r="B879" s="1765">
        <v>55</v>
      </c>
      <c r="C879" s="1916" t="s">
        <v>1602</v>
      </c>
      <c r="D879" s="1776" t="s">
        <v>194</v>
      </c>
      <c r="E879" s="1762" t="s">
        <v>1601</v>
      </c>
      <c r="F879" s="1776" t="s">
        <v>194</v>
      </c>
      <c r="G879" s="1762" t="s">
        <v>1600</v>
      </c>
      <c r="H879" s="1921"/>
      <c r="I879" s="1758" t="s">
        <v>194</v>
      </c>
      <c r="J879" s="1756" t="s">
        <v>1585</v>
      </c>
      <c r="K879" s="1827"/>
      <c r="L879" s="1827"/>
      <c r="M879" s="1827"/>
      <c r="N879" s="1827"/>
      <c r="O879" s="1827"/>
      <c r="P879" s="1827"/>
      <c r="Q879" s="1734"/>
      <c r="R879" s="1827"/>
      <c r="S879" s="1827"/>
      <c r="T879" s="1827"/>
      <c r="U879" s="1827"/>
      <c r="V879" s="1827"/>
      <c r="W879" s="1827"/>
      <c r="X879" s="1826"/>
      <c r="Y879" s="1914"/>
      <c r="Z879" s="1913"/>
      <c r="AA879" s="1913"/>
      <c r="AB879" s="1794"/>
      <c r="AC879" s="1912"/>
      <c r="AD879" s="1911"/>
      <c r="AE879" s="1911"/>
      <c r="AF879" s="1910"/>
    </row>
    <row r="880" spans="1:35" s="1735" customFormat="1" ht="18.75" hidden="1" customHeight="1">
      <c r="A880" s="1766"/>
      <c r="B880" s="1765"/>
      <c r="C880" s="1916"/>
      <c r="D880" s="1915"/>
      <c r="E880" s="1762"/>
      <c r="F880" s="1776" t="s">
        <v>194</v>
      </c>
      <c r="G880" s="1762" t="s">
        <v>1599</v>
      </c>
      <c r="H880" s="1925" t="s">
        <v>1584</v>
      </c>
      <c r="I880" s="1924" t="s">
        <v>194</v>
      </c>
      <c r="J880" s="1923" t="s">
        <v>1583</v>
      </c>
      <c r="K880" s="1938"/>
      <c r="L880" s="1937"/>
      <c r="M880" s="1922" t="s">
        <v>194</v>
      </c>
      <c r="N880" s="1923" t="s">
        <v>1582</v>
      </c>
      <c r="O880" s="1829"/>
      <c r="P880" s="1829"/>
      <c r="Q880" s="1922" t="s">
        <v>194</v>
      </c>
      <c r="R880" s="1923" t="s">
        <v>1581</v>
      </c>
      <c r="S880" s="1829"/>
      <c r="T880" s="1829"/>
      <c r="U880" s="1829"/>
      <c r="V880" s="1829"/>
      <c r="W880" s="1829"/>
      <c r="X880" s="1828"/>
      <c r="Y880" s="1914"/>
      <c r="Z880" s="1913"/>
      <c r="AA880" s="1913"/>
      <c r="AB880" s="1794"/>
      <c r="AC880" s="1912"/>
      <c r="AD880" s="1911"/>
      <c r="AE880" s="1911"/>
      <c r="AF880" s="1910"/>
      <c r="AI880" s="1735" t="str">
        <f>"55:"&amp;IF(AND(I880="□",M880="□",Q880="□",I881="□",Q881="□"),"koriha_rryoho1_code:0:koriha_sryoho_code:0:koriha_gengo_code:0:riha_seisin_code:0:koriha_other_code:0",IF(I880="■","koriha_rryoho1_code:2","koriha_rryoho1_code:1")
&amp;IF(M880="■",":koriha_sryoho_code:2",":koriha_sryoho_code:1")
&amp;IF(Q880="■",":koriha_gengo_code:2",":koriha_gengo_code:1")
&amp;IF(I881="■",":riha_seisin_code:2",":riha_seisin_code:1")
&amp;IF(Q881="■",":koriha_other_code:2",":koriha_other_code:1"))</f>
        <v>55:koriha_rryoho1_code:0:koriha_sryoho_code:0:koriha_gengo_code:0:riha_seisin_code:0:koriha_other_code:0</v>
      </c>
    </row>
    <row r="881" spans="1:35" s="1735" customFormat="1" ht="18.75" hidden="1" customHeight="1">
      <c r="A881" s="1766"/>
      <c r="B881" s="1765"/>
      <c r="C881" s="1916"/>
      <c r="D881" s="1915"/>
      <c r="E881" s="1762"/>
      <c r="F881" s="1915"/>
      <c r="G881" s="1762"/>
      <c r="H881" s="1921"/>
      <c r="I881" s="1758" t="s">
        <v>194</v>
      </c>
      <c r="J881" s="1756" t="s">
        <v>1580</v>
      </c>
      <c r="K881" s="1827"/>
      <c r="L881" s="1827"/>
      <c r="M881" s="1827"/>
      <c r="N881" s="1827"/>
      <c r="O881" s="1827"/>
      <c r="P881" s="1827"/>
      <c r="Q881" s="1878" t="s">
        <v>194</v>
      </c>
      <c r="R881" s="1756" t="s">
        <v>1579</v>
      </c>
      <c r="S881" s="1780"/>
      <c r="T881" s="1827"/>
      <c r="U881" s="1827"/>
      <c r="V881" s="1827"/>
      <c r="W881" s="1827"/>
      <c r="X881" s="1826"/>
      <c r="Y881" s="1914"/>
      <c r="Z881" s="1913"/>
      <c r="AA881" s="1913"/>
      <c r="AB881" s="1794"/>
      <c r="AC881" s="1912"/>
      <c r="AD881" s="1911"/>
      <c r="AE881" s="1911"/>
      <c r="AF881" s="1910"/>
    </row>
    <row r="882" spans="1:35" s="1735" customFormat="1" ht="18.75" hidden="1" customHeight="1">
      <c r="A882" s="1766"/>
      <c r="B882" s="1765"/>
      <c r="C882" s="1916"/>
      <c r="D882" s="1915"/>
      <c r="E882" s="1762"/>
      <c r="F882" s="1915"/>
      <c r="G882" s="1762"/>
      <c r="H882" s="1788" t="s">
        <v>1578</v>
      </c>
      <c r="I882" s="1868" t="s">
        <v>194</v>
      </c>
      <c r="J882" s="1830" t="s">
        <v>750</v>
      </c>
      <c r="K882" s="1830"/>
      <c r="L882" s="1919" t="s">
        <v>194</v>
      </c>
      <c r="M882" s="1830" t="s">
        <v>1577</v>
      </c>
      <c r="N882" s="1830"/>
      <c r="O882" s="1830"/>
      <c r="P882" s="1919" t="s">
        <v>194</v>
      </c>
      <c r="Q882" s="1830" t="s">
        <v>1576</v>
      </c>
      <c r="R882" s="1830"/>
      <c r="S882" s="1830"/>
      <c r="T882" s="1919" t="s">
        <v>194</v>
      </c>
      <c r="U882" s="1830" t="s">
        <v>1575</v>
      </c>
      <c r="V882" s="1830"/>
      <c r="W882" s="1830"/>
      <c r="X882" s="1936"/>
      <c r="Y882" s="1914"/>
      <c r="Z882" s="1913"/>
      <c r="AA882" s="1913"/>
      <c r="AB882" s="1794"/>
      <c r="AC882" s="1912"/>
      <c r="AD882" s="1911"/>
      <c r="AE882" s="1911"/>
      <c r="AF882" s="1910"/>
      <c r="AI882" s="1735" t="str">
        <f>"55:"&amp;IF(AND(I882="□",L882="□",P882="□",T882="□"),"field236:0:field237:0:field238:0",IF(I882="■","field236:1:field237:1:field238:1",IF(L882="■","field236:2","field236:1")
&amp;IF(P882="■",":field237:2",":field237:1")
&amp;IF(T882="■",":field238:2",":field238:1")))</f>
        <v>55:field236:0:field237:0:field238:0</v>
      </c>
    </row>
    <row r="883" spans="1:35" s="1735" customFormat="1" ht="18.75" hidden="1" customHeight="1">
      <c r="A883" s="1766"/>
      <c r="B883" s="1765"/>
      <c r="C883" s="1916"/>
      <c r="D883" s="1915"/>
      <c r="E883" s="1762"/>
      <c r="F883" s="1761"/>
      <c r="G883" s="1762"/>
      <c r="H883" s="1783"/>
      <c r="I883" s="1819"/>
      <c r="J883" s="1781"/>
      <c r="K883" s="1781"/>
      <c r="L883" s="1818"/>
      <c r="M883" s="1781"/>
      <c r="N883" s="1781"/>
      <c r="O883" s="1781"/>
      <c r="P883" s="1818"/>
      <c r="Q883" s="1781"/>
      <c r="R883" s="1781"/>
      <c r="S883" s="1781"/>
      <c r="T883" s="1818"/>
      <c r="U883" s="1781"/>
      <c r="V883" s="1781"/>
      <c r="W883" s="1781"/>
      <c r="X883" s="1935"/>
      <c r="Y883" s="1914"/>
      <c r="Z883" s="1913"/>
      <c r="AA883" s="1913"/>
      <c r="AB883" s="1794"/>
      <c r="AC883" s="1912"/>
      <c r="AD883" s="1911"/>
      <c r="AE883" s="1911"/>
      <c r="AF883" s="1910"/>
    </row>
    <row r="884" spans="1:35" s="1735" customFormat="1" ht="18.75" hidden="1" customHeight="1">
      <c r="A884" s="1766"/>
      <c r="B884" s="1765"/>
      <c r="C884" s="1916"/>
      <c r="D884" s="1915"/>
      <c r="E884" s="1762"/>
      <c r="F884" s="1761"/>
      <c r="G884" s="1762"/>
      <c r="H884" s="1759" t="s">
        <v>1574</v>
      </c>
      <c r="I884" s="1758" t="s">
        <v>194</v>
      </c>
      <c r="J884" s="1756" t="s">
        <v>750</v>
      </c>
      <c r="K884" s="1755"/>
      <c r="L884" s="1757" t="s">
        <v>194</v>
      </c>
      <c r="M884" s="1756" t="s">
        <v>764</v>
      </c>
      <c r="N884" s="1771"/>
      <c r="O884" s="1768"/>
      <c r="P884" s="1789"/>
      <c r="Q884" s="1789"/>
      <c r="R884" s="1789"/>
      <c r="S884" s="1789"/>
      <c r="T884" s="1789"/>
      <c r="U884" s="1789"/>
      <c r="V884" s="1789"/>
      <c r="W884" s="1789"/>
      <c r="X884" s="1918"/>
      <c r="Y884" s="1914"/>
      <c r="Z884" s="1913"/>
      <c r="AA884" s="1913"/>
      <c r="AB884" s="1794"/>
      <c r="AC884" s="1912"/>
      <c r="AD884" s="1911"/>
      <c r="AE884" s="1911"/>
      <c r="AF884" s="1910"/>
      <c r="AI884" s="1735" t="str">
        <f>"55:ninti_riha_code:" &amp; IF(I884="■",1,IF(L884="■",2,0))</f>
        <v>55:ninti_riha_code:0</v>
      </c>
    </row>
    <row r="885" spans="1:35" s="1735" customFormat="1" ht="18.75" hidden="1" customHeight="1">
      <c r="A885" s="1766"/>
      <c r="B885" s="1765"/>
      <c r="C885" s="1916"/>
      <c r="D885" s="1915"/>
      <c r="E885" s="1762"/>
      <c r="F885" s="1761"/>
      <c r="G885" s="1762"/>
      <c r="H885" s="1769" t="s">
        <v>791</v>
      </c>
      <c r="I885" s="1773" t="s">
        <v>194</v>
      </c>
      <c r="J885" s="1754" t="s">
        <v>750</v>
      </c>
      <c r="K885" s="1754"/>
      <c r="L885" s="1772" t="s">
        <v>194</v>
      </c>
      <c r="M885" s="1754" t="s">
        <v>784</v>
      </c>
      <c r="N885" s="1754"/>
      <c r="O885" s="1772" t="s">
        <v>194</v>
      </c>
      <c r="P885" s="1754" t="s">
        <v>785</v>
      </c>
      <c r="Q885" s="1768"/>
      <c r="R885" s="1789"/>
      <c r="S885" s="1789"/>
      <c r="T885" s="1789"/>
      <c r="U885" s="1789"/>
      <c r="V885" s="1789"/>
      <c r="W885" s="1789"/>
      <c r="X885" s="1918"/>
      <c r="Y885" s="1914"/>
      <c r="Z885" s="1913"/>
      <c r="AA885" s="1913"/>
      <c r="AB885" s="1794"/>
      <c r="AC885" s="1912"/>
      <c r="AD885" s="1911"/>
      <c r="AE885" s="1911"/>
      <c r="AF885" s="1910"/>
      <c r="AI885" s="1735" t="str">
        <f>"55:ninti_senmoncare_code:" &amp; IF(I885="■",1,IF(O885="■",3,IF(L885="■",2,0)))</f>
        <v>55:ninti_senmoncare_code:0</v>
      </c>
    </row>
    <row r="886" spans="1:35" s="1735" customFormat="1" ht="18.75" hidden="1" customHeight="1">
      <c r="A886" s="1766"/>
      <c r="B886" s="1765"/>
      <c r="C886" s="1916"/>
      <c r="D886" s="1915"/>
      <c r="E886" s="1762"/>
      <c r="F886" s="1761"/>
      <c r="G886" s="1762"/>
      <c r="H886" s="1769" t="s">
        <v>792</v>
      </c>
      <c r="I886" s="1773" t="s">
        <v>194</v>
      </c>
      <c r="J886" s="1754" t="s">
        <v>750</v>
      </c>
      <c r="K886" s="1754"/>
      <c r="L886" s="1772" t="s">
        <v>194</v>
      </c>
      <c r="M886" s="1754" t="s">
        <v>784</v>
      </c>
      <c r="N886" s="1754"/>
      <c r="O886" s="1772" t="s">
        <v>194</v>
      </c>
      <c r="P886" s="1754" t="s">
        <v>785</v>
      </c>
      <c r="Q886" s="1789"/>
      <c r="R886" s="1789"/>
      <c r="S886" s="1789"/>
      <c r="T886" s="1789"/>
      <c r="U886" s="1789"/>
      <c r="V886" s="1789"/>
      <c r="W886" s="1789"/>
      <c r="X886" s="1918"/>
      <c r="Y886" s="1914"/>
      <c r="Z886" s="1913"/>
      <c r="AA886" s="1913"/>
      <c r="AB886" s="1794"/>
      <c r="AC886" s="1912"/>
      <c r="AD886" s="1911"/>
      <c r="AE886" s="1911"/>
      <c r="AF886" s="1910"/>
      <c r="AI886" s="1735" t="str">
        <f>"55:field228:" &amp; IF(I886="■",1,IF(L886="■",2,IF(O886="■",3,0)))</f>
        <v>55:field228:0</v>
      </c>
    </row>
    <row r="887" spans="1:35" s="1735" customFormat="1" ht="18.75" hidden="1" customHeight="1">
      <c r="A887" s="1766"/>
      <c r="B887" s="1765"/>
      <c r="C887" s="1916"/>
      <c r="D887" s="1915"/>
      <c r="E887" s="1762"/>
      <c r="F887" s="1761"/>
      <c r="G887" s="1762"/>
      <c r="H887" s="1769" t="s">
        <v>1573</v>
      </c>
      <c r="I887" s="1773" t="s">
        <v>194</v>
      </c>
      <c r="J887" s="1754" t="s">
        <v>750</v>
      </c>
      <c r="K887" s="1754"/>
      <c r="L887" s="1772" t="s">
        <v>194</v>
      </c>
      <c r="M887" s="1754" t="s">
        <v>784</v>
      </c>
      <c r="N887" s="1754"/>
      <c r="O887" s="1772" t="s">
        <v>194</v>
      </c>
      <c r="P887" s="1754" t="s">
        <v>785</v>
      </c>
      <c r="Q887" s="1768"/>
      <c r="R887" s="1754"/>
      <c r="S887" s="1754"/>
      <c r="T887" s="1754"/>
      <c r="U887" s="1754"/>
      <c r="V887" s="1754"/>
      <c r="W887" s="1754"/>
      <c r="X887" s="1753"/>
      <c r="Y887" s="1914"/>
      <c r="Z887" s="1913"/>
      <c r="AA887" s="1913"/>
      <c r="AB887" s="1794"/>
      <c r="AC887" s="1912"/>
      <c r="AD887" s="1911"/>
      <c r="AE887" s="1911"/>
      <c r="AF887" s="1910"/>
      <c r="AI887" s="1735" t="str">
        <f>"55:field164:" &amp; IF(I887="■",1,IF(L887="■",2,IF(O887="■",3,0)))</f>
        <v>55:field164:0</v>
      </c>
    </row>
    <row r="888" spans="1:35" s="1735" customFormat="1" ht="18.75" hidden="1" customHeight="1">
      <c r="A888" s="1766"/>
      <c r="B888" s="1765"/>
      <c r="C888" s="1916"/>
      <c r="D888" s="1915"/>
      <c r="E888" s="1762"/>
      <c r="F888" s="1761"/>
      <c r="G888" s="1762"/>
      <c r="H888" s="1777" t="s">
        <v>454</v>
      </c>
      <c r="I888" s="1758" t="s">
        <v>194</v>
      </c>
      <c r="J888" s="1756" t="s">
        <v>750</v>
      </c>
      <c r="K888" s="1755"/>
      <c r="L888" s="1757" t="s">
        <v>194</v>
      </c>
      <c r="M888" s="1756" t="s">
        <v>764</v>
      </c>
      <c r="N888" s="1771"/>
      <c r="O888" s="1768"/>
      <c r="P888" s="1789"/>
      <c r="Q888" s="1789"/>
      <c r="R888" s="1789"/>
      <c r="S888" s="1789"/>
      <c r="T888" s="1789"/>
      <c r="U888" s="1789"/>
      <c r="V888" s="1789"/>
      <c r="W888" s="1789"/>
      <c r="X888" s="1918"/>
      <c r="Y888" s="1914"/>
      <c r="Z888" s="1913"/>
      <c r="AA888" s="1913"/>
      <c r="AB888" s="1794"/>
      <c r="AC888" s="1912"/>
      <c r="AD888" s="1911"/>
      <c r="AE888" s="1911"/>
      <c r="AF888" s="1910"/>
      <c r="AI888" s="1735" t="str">
        <f>"55:field210:" &amp; IF(I888="■",1,IF(L888="■",2,0))</f>
        <v>55:field210:0</v>
      </c>
    </row>
    <row r="889" spans="1:35" s="1735" customFormat="1" ht="18.75" hidden="1" customHeight="1">
      <c r="A889" s="1766"/>
      <c r="B889" s="1765"/>
      <c r="C889" s="1916"/>
      <c r="D889" s="1915"/>
      <c r="E889" s="1762"/>
      <c r="F889" s="1761"/>
      <c r="G889" s="1762"/>
      <c r="H889" s="1769" t="s">
        <v>455</v>
      </c>
      <c r="I889" s="1758" t="s">
        <v>194</v>
      </c>
      <c r="J889" s="1756" t="s">
        <v>750</v>
      </c>
      <c r="K889" s="1755"/>
      <c r="L889" s="1757" t="s">
        <v>194</v>
      </c>
      <c r="M889" s="1756" t="s">
        <v>764</v>
      </c>
      <c r="N889" s="1771"/>
      <c r="O889" s="1768"/>
      <c r="P889" s="1789"/>
      <c r="Q889" s="1789"/>
      <c r="R889" s="1789"/>
      <c r="S889" s="1789"/>
      <c r="T889" s="1789"/>
      <c r="U889" s="1789"/>
      <c r="V889" s="1789"/>
      <c r="W889" s="1789"/>
      <c r="X889" s="1918"/>
      <c r="Y889" s="1914"/>
      <c r="Z889" s="1913"/>
      <c r="AA889" s="1913"/>
      <c r="AB889" s="1794"/>
      <c r="AC889" s="1912"/>
      <c r="AD889" s="1911"/>
      <c r="AE889" s="1911"/>
      <c r="AF889" s="1910"/>
      <c r="AI889" s="1735" t="str">
        <f>"55:field211:" &amp; IF(I889="■",1,IF(L889="■",2,0))</f>
        <v>55:field211:0</v>
      </c>
    </row>
    <row r="890" spans="1:35" s="1735" customFormat="1" ht="18.75" hidden="1" customHeight="1">
      <c r="A890" s="1766"/>
      <c r="B890" s="1765"/>
      <c r="C890" s="1916"/>
      <c r="D890" s="1915"/>
      <c r="E890" s="1762"/>
      <c r="F890" s="1761"/>
      <c r="G890" s="1762"/>
      <c r="H890" s="1769" t="s">
        <v>456</v>
      </c>
      <c r="I890" s="1758" t="s">
        <v>194</v>
      </c>
      <c r="J890" s="1756" t="s">
        <v>750</v>
      </c>
      <c r="K890" s="1755"/>
      <c r="L890" s="1757" t="s">
        <v>194</v>
      </c>
      <c r="M890" s="1756" t="s">
        <v>764</v>
      </c>
      <c r="N890" s="1771"/>
      <c r="O890" s="1768"/>
      <c r="P890" s="1789"/>
      <c r="Q890" s="1789"/>
      <c r="R890" s="1789"/>
      <c r="S890" s="1789"/>
      <c r="T890" s="1789"/>
      <c r="U890" s="1789"/>
      <c r="V890" s="1789"/>
      <c r="W890" s="1789"/>
      <c r="X890" s="1918"/>
      <c r="Y890" s="1914"/>
      <c r="Z890" s="1913"/>
      <c r="AA890" s="1913"/>
      <c r="AB890" s="1794"/>
      <c r="AC890" s="1912"/>
      <c r="AD890" s="1911"/>
      <c r="AE890" s="1911"/>
      <c r="AF890" s="1910"/>
      <c r="AI890" s="1735" t="str">
        <f>"55:field212:" &amp; IF(I890="■",1,IF(L890="■",2,0))</f>
        <v>55:field212:0</v>
      </c>
    </row>
    <row r="891" spans="1:35" s="1735" customFormat="1" ht="18.75" hidden="1" customHeight="1">
      <c r="A891" s="1766"/>
      <c r="B891" s="1765"/>
      <c r="C891" s="1916"/>
      <c r="D891" s="1915"/>
      <c r="E891" s="1762"/>
      <c r="F891" s="1761"/>
      <c r="G891" s="1762"/>
      <c r="H891" s="1769" t="s">
        <v>457</v>
      </c>
      <c r="I891" s="1758" t="s">
        <v>194</v>
      </c>
      <c r="J891" s="1756" t="s">
        <v>750</v>
      </c>
      <c r="K891" s="1755"/>
      <c r="L891" s="1757" t="s">
        <v>194</v>
      </c>
      <c r="M891" s="1756" t="s">
        <v>764</v>
      </c>
      <c r="N891" s="1771"/>
      <c r="O891" s="1768"/>
      <c r="P891" s="1789"/>
      <c r="Q891" s="1789"/>
      <c r="R891" s="1789"/>
      <c r="S891" s="1789"/>
      <c r="T891" s="1789"/>
      <c r="U891" s="1789"/>
      <c r="V891" s="1789"/>
      <c r="W891" s="1789"/>
      <c r="X891" s="1918"/>
      <c r="Y891" s="1914"/>
      <c r="Z891" s="1913"/>
      <c r="AA891" s="1913"/>
      <c r="AB891" s="1794"/>
      <c r="AC891" s="1912"/>
      <c r="AD891" s="1911"/>
      <c r="AE891" s="1911"/>
      <c r="AF891" s="1910"/>
      <c r="AI891" s="1735" t="str">
        <f>"55:field209:" &amp; IF(I891="■",1,IF(L891="■",2,0))</f>
        <v>55:field209:0</v>
      </c>
    </row>
    <row r="892" spans="1:35" s="1735" customFormat="1" ht="18.75" hidden="1" customHeight="1">
      <c r="A892" s="1766"/>
      <c r="B892" s="1765"/>
      <c r="C892" s="1916"/>
      <c r="D892" s="1915"/>
      <c r="E892" s="1762"/>
      <c r="F892" s="1761"/>
      <c r="G892" s="1762"/>
      <c r="H892" s="1769" t="s">
        <v>1124</v>
      </c>
      <c r="I892" s="1773" t="s">
        <v>194</v>
      </c>
      <c r="J892" s="1754" t="s">
        <v>750</v>
      </c>
      <c r="K892" s="1754"/>
      <c r="L892" s="1772" t="s">
        <v>194</v>
      </c>
      <c r="M892" s="1756" t="s">
        <v>764</v>
      </c>
      <c r="N892" s="1754"/>
      <c r="O892" s="1754"/>
      <c r="P892" s="1754"/>
      <c r="Q892" s="1789"/>
      <c r="R892" s="1789"/>
      <c r="S892" s="1789"/>
      <c r="T892" s="1789"/>
      <c r="U892" s="1789"/>
      <c r="V892" s="1789"/>
      <c r="W892" s="1789"/>
      <c r="X892" s="1918"/>
      <c r="Y892" s="1914"/>
      <c r="Z892" s="1913"/>
      <c r="AA892" s="1913"/>
      <c r="AB892" s="1794"/>
      <c r="AC892" s="1912"/>
      <c r="AD892" s="1911"/>
      <c r="AE892" s="1911"/>
      <c r="AF892" s="1910"/>
      <c r="AI892" s="1735" t="str">
        <f>"55:field226:" &amp; IF(I892="■",1,IF(L892="■",2,0))</f>
        <v>55:field226:0</v>
      </c>
    </row>
    <row r="893" spans="1:35" s="1735" customFormat="1" ht="18.75" hidden="1" customHeight="1">
      <c r="A893" s="1766"/>
      <c r="B893" s="1765"/>
      <c r="C893" s="1916"/>
      <c r="D893" s="1915"/>
      <c r="E893" s="1762"/>
      <c r="F893" s="1761"/>
      <c r="G893" s="1762"/>
      <c r="H893" s="1769" t="s">
        <v>1125</v>
      </c>
      <c r="I893" s="1773" t="s">
        <v>194</v>
      </c>
      <c r="J893" s="1754" t="s">
        <v>750</v>
      </c>
      <c r="K893" s="1754"/>
      <c r="L893" s="1772" t="s">
        <v>194</v>
      </c>
      <c r="M893" s="1756" t="s">
        <v>764</v>
      </c>
      <c r="N893" s="1754"/>
      <c r="O893" s="1754"/>
      <c r="P893" s="1754"/>
      <c r="Q893" s="1789"/>
      <c r="R893" s="1789"/>
      <c r="S893" s="1789"/>
      <c r="T893" s="1789"/>
      <c r="U893" s="1789"/>
      <c r="V893" s="1789"/>
      <c r="W893" s="1789"/>
      <c r="X893" s="1918"/>
      <c r="Y893" s="1914"/>
      <c r="Z893" s="1913"/>
      <c r="AA893" s="1913"/>
      <c r="AB893" s="1794"/>
      <c r="AC893" s="1912"/>
      <c r="AD893" s="1911"/>
      <c r="AE893" s="1911"/>
      <c r="AF893" s="1910"/>
      <c r="AI893" s="1735" t="str">
        <f>"55:field227:" &amp; IF(I893="■",1,IF(L893="■",2,0))</f>
        <v>55:field227:0</v>
      </c>
    </row>
    <row r="894" spans="1:35" s="1735" customFormat="1" ht="18.75" hidden="1" customHeight="1">
      <c r="A894" s="1766"/>
      <c r="B894" s="1765"/>
      <c r="C894" s="1916"/>
      <c r="D894" s="1915"/>
      <c r="E894" s="1762"/>
      <c r="F894" s="1761"/>
      <c r="G894" s="1762"/>
      <c r="H894" s="1917" t="s">
        <v>794</v>
      </c>
      <c r="I894" s="1773" t="s">
        <v>194</v>
      </c>
      <c r="J894" s="1754" t="s">
        <v>750</v>
      </c>
      <c r="K894" s="1754"/>
      <c r="L894" s="1772" t="s">
        <v>194</v>
      </c>
      <c r="M894" s="1754" t="s">
        <v>784</v>
      </c>
      <c r="N894" s="1754"/>
      <c r="O894" s="1772" t="s">
        <v>194</v>
      </c>
      <c r="P894" s="1754" t="s">
        <v>785</v>
      </c>
      <c r="Q894" s="1768"/>
      <c r="R894" s="1768"/>
      <c r="S894" s="1768"/>
      <c r="T894" s="1768"/>
      <c r="U894" s="1829"/>
      <c r="V894" s="1829"/>
      <c r="W894" s="1829"/>
      <c r="X894" s="1828"/>
      <c r="Y894" s="1914"/>
      <c r="Z894" s="1913"/>
      <c r="AA894" s="1913"/>
      <c r="AB894" s="1794"/>
      <c r="AC894" s="1912"/>
      <c r="AD894" s="1911"/>
      <c r="AE894" s="1911"/>
      <c r="AF894" s="1910"/>
      <c r="AI894" s="1735" t="str">
        <f>"55:field225:" &amp; IF(I894="■",1,IF(L894="■",2,IF(O894="■",3,0)))</f>
        <v>55:field225:0</v>
      </c>
    </row>
    <row r="895" spans="1:35" s="1735" customFormat="1" ht="18.75" hidden="1" customHeight="1">
      <c r="A895" s="1766"/>
      <c r="B895" s="1765"/>
      <c r="C895" s="1916"/>
      <c r="D895" s="1915"/>
      <c r="E895" s="1762"/>
      <c r="F895" s="1761"/>
      <c r="G895" s="1762"/>
      <c r="H895" s="1769" t="s">
        <v>795</v>
      </c>
      <c r="I895" s="1773" t="s">
        <v>194</v>
      </c>
      <c r="J895" s="1754" t="s">
        <v>750</v>
      </c>
      <c r="K895" s="1754"/>
      <c r="L895" s="1772" t="s">
        <v>194</v>
      </c>
      <c r="M895" s="1754" t="s">
        <v>796</v>
      </c>
      <c r="N895" s="1754"/>
      <c r="O895" s="1772" t="s">
        <v>194</v>
      </c>
      <c r="P895" s="1754" t="s">
        <v>797</v>
      </c>
      <c r="Q895" s="1771"/>
      <c r="R895" s="1772" t="s">
        <v>194</v>
      </c>
      <c r="S895" s="1754" t="s">
        <v>798</v>
      </c>
      <c r="T895" s="1754"/>
      <c r="U895" s="1754"/>
      <c r="V895" s="1754"/>
      <c r="W895" s="1754"/>
      <c r="X895" s="1753"/>
      <c r="Y895" s="1914"/>
      <c r="Z895" s="1913"/>
      <c r="AA895" s="1913"/>
      <c r="AB895" s="1794"/>
      <c r="AC895" s="1912"/>
      <c r="AD895" s="1911"/>
      <c r="AE895" s="1911"/>
      <c r="AF895" s="1910"/>
      <c r="AI895" s="1735" t="str">
        <f>"55:serteikyo_kyoka_code:" &amp; IF(I895="■",1,IF(L895="■",6,IF(O895="■",5,IF(R895="■",7,0))))</f>
        <v>55:serteikyo_kyoka_code:0</v>
      </c>
    </row>
    <row r="896" spans="1:35" s="1735" customFormat="1" ht="18.75" hidden="1" customHeight="1">
      <c r="A896" s="1752"/>
      <c r="B896" s="1751"/>
      <c r="C896" s="1750"/>
      <c r="D896" s="1749"/>
      <c r="E896" s="1748"/>
      <c r="F896" s="1747"/>
      <c r="G896" s="1808"/>
      <c r="H896" s="1909" t="s">
        <v>1553</v>
      </c>
      <c r="I896" s="1744" t="s">
        <v>194</v>
      </c>
      <c r="J896" s="1905" t="s">
        <v>750</v>
      </c>
      <c r="K896" s="1905"/>
      <c r="L896" s="1743" t="s">
        <v>194</v>
      </c>
      <c r="M896" s="1905" t="s">
        <v>1552</v>
      </c>
      <c r="N896" s="1908"/>
      <c r="O896" s="1743" t="s">
        <v>194</v>
      </c>
      <c r="P896" s="1907" t="s">
        <v>1551</v>
      </c>
      <c r="Q896" s="1906"/>
      <c r="R896" s="1743" t="s">
        <v>194</v>
      </c>
      <c r="S896" s="1905" t="s">
        <v>1550</v>
      </c>
      <c r="T896" s="1906"/>
      <c r="U896" s="1743" t="s">
        <v>194</v>
      </c>
      <c r="V896" s="1905" t="s">
        <v>1549</v>
      </c>
      <c r="W896" s="1904"/>
      <c r="X896" s="1903"/>
      <c r="Y896" s="1902"/>
      <c r="Z896" s="1902"/>
      <c r="AA896" s="1902"/>
      <c r="AB896" s="1901"/>
      <c r="AC896" s="1900"/>
      <c r="AD896" s="1899"/>
      <c r="AE896" s="1899"/>
      <c r="AF896" s="1898"/>
      <c r="AI896" s="1735" t="str">
        <f>"55:shoguukaizen_code:"&amp;IF(I896="■",1,IF(L896="■",7,IF(O896="■",8,IF(R896="■",9,IF(U896="■","A",0)))))</f>
        <v>55:shoguukaizen_code:0</v>
      </c>
    </row>
    <row r="897" spans="1:36" s="1735" customFormat="1" ht="18.75" hidden="1" customHeight="1">
      <c r="A897" s="1807"/>
      <c r="B897" s="1806"/>
      <c r="C897" s="1934"/>
      <c r="D897" s="1933"/>
      <c r="E897" s="1804"/>
      <c r="F897" s="1803"/>
      <c r="G897" s="1804"/>
      <c r="H897" s="1885" t="s">
        <v>746</v>
      </c>
      <c r="I897" s="1873" t="s">
        <v>194</v>
      </c>
      <c r="J897" s="1872" t="s">
        <v>747</v>
      </c>
      <c r="K897" s="1932"/>
      <c r="L897" s="1930"/>
      <c r="M897" s="1931" t="s">
        <v>194</v>
      </c>
      <c r="N897" s="1872" t="s">
        <v>1572</v>
      </c>
      <c r="O897" s="1930"/>
      <c r="P897" s="1930"/>
      <c r="Q897" s="1931" t="s">
        <v>194</v>
      </c>
      <c r="R897" s="1872" t="s">
        <v>1571</v>
      </c>
      <c r="S897" s="1930"/>
      <c r="T897" s="1930"/>
      <c r="U897" s="1931" t="s">
        <v>194</v>
      </c>
      <c r="V897" s="1872" t="s">
        <v>1570</v>
      </c>
      <c r="W897" s="1930"/>
      <c r="X897" s="1886"/>
      <c r="Y897" s="1873" t="s">
        <v>194</v>
      </c>
      <c r="Z897" s="1872" t="s">
        <v>749</v>
      </c>
      <c r="AA897" s="1872"/>
      <c r="AB897" s="1929"/>
      <c r="AC897" s="1928"/>
      <c r="AD897" s="1927"/>
      <c r="AE897" s="1927"/>
      <c r="AF897" s="1926"/>
      <c r="AG897" s="1735" t="str">
        <f>"ser_code = '" &amp; IF(A907="■",55,"") &amp; "'"</f>
        <v>ser_code = ''</v>
      </c>
      <c r="AH897" s="1735" t="str">
        <f>"55:jininkbn_code:" &amp; IF(F907="■",1,IF(F908="■",2,0))</f>
        <v>55:jininkbn_code:0</v>
      </c>
      <c r="AI897" s="1735" t="str">
        <f>"55:yakan_kinmu_code:" &amp; IF(I897="■",1,IF(M897="■",2,IF(Q897="■",3,IF(U897="■",AJ7566,IF(I898="■",5,IF(M898="■",6,0))))))</f>
        <v>55:yakan_kinmu_code:0</v>
      </c>
      <c r="AJ897" s="1735" t="str">
        <f>"55:field203:" &amp; IF(Y897="■",1,IF(Y898="■",2,0))</f>
        <v>55:field203:0</v>
      </c>
    </row>
    <row r="898" spans="1:36" s="1735" customFormat="1" ht="18.75" hidden="1" customHeight="1">
      <c r="A898" s="1766"/>
      <c r="B898" s="1765"/>
      <c r="C898" s="1916"/>
      <c r="D898" s="1915"/>
      <c r="E898" s="1762"/>
      <c r="F898" s="1761"/>
      <c r="G898" s="1762"/>
      <c r="H898" s="1921"/>
      <c r="I898" s="1758" t="s">
        <v>194</v>
      </c>
      <c r="J898" s="1756" t="s">
        <v>1569</v>
      </c>
      <c r="K898" s="1755"/>
      <c r="L898" s="1780"/>
      <c r="M898" s="1757" t="s">
        <v>194</v>
      </c>
      <c r="N898" s="1756" t="s">
        <v>748</v>
      </c>
      <c r="O898" s="1780"/>
      <c r="P898" s="1780"/>
      <c r="Q898" s="1780"/>
      <c r="R898" s="1780"/>
      <c r="S898" s="1780"/>
      <c r="T898" s="1780"/>
      <c r="U898" s="1780"/>
      <c r="V898" s="1780"/>
      <c r="W898" s="1780"/>
      <c r="X898" s="1779"/>
      <c r="Y898" s="1776" t="s">
        <v>194</v>
      </c>
      <c r="Z898" s="1738" t="s">
        <v>754</v>
      </c>
      <c r="AA898" s="1913"/>
      <c r="AB898" s="1794"/>
      <c r="AC898" s="1912"/>
      <c r="AD898" s="1911"/>
      <c r="AE898" s="1911"/>
      <c r="AF898" s="1910"/>
      <c r="AG898" s="1735" t="str">
        <f>"55:sisetukbn_code:" &amp; IF(D907="■",3,0)</f>
        <v>55:sisetukbn_code:0</v>
      </c>
    </row>
    <row r="899" spans="1:36" s="1735" customFormat="1" ht="18.75" hidden="1" customHeight="1">
      <c r="A899" s="1766"/>
      <c r="B899" s="1765"/>
      <c r="C899" s="1916"/>
      <c r="D899" s="1915"/>
      <c r="E899" s="1762"/>
      <c r="F899" s="1761"/>
      <c r="G899" s="1762"/>
      <c r="H899" s="1925" t="s">
        <v>98</v>
      </c>
      <c r="I899" s="1924" t="s">
        <v>194</v>
      </c>
      <c r="J899" s="1923" t="s">
        <v>750</v>
      </c>
      <c r="K899" s="1923"/>
      <c r="L899" s="1785"/>
      <c r="M899" s="1922" t="s">
        <v>194</v>
      </c>
      <c r="N899" s="1923" t="s">
        <v>1568</v>
      </c>
      <c r="O899" s="1923"/>
      <c r="P899" s="1785"/>
      <c r="Q899" s="1922" t="s">
        <v>194</v>
      </c>
      <c r="R899" s="1785" t="s">
        <v>1567</v>
      </c>
      <c r="S899" s="1785"/>
      <c r="T899" s="1785"/>
      <c r="U899" s="1922" t="s">
        <v>194</v>
      </c>
      <c r="V899" s="1785" t="s">
        <v>1566</v>
      </c>
      <c r="W899" s="1829"/>
      <c r="X899" s="1828"/>
      <c r="Y899" s="1914"/>
      <c r="Z899" s="1913"/>
      <c r="AA899" s="1913"/>
      <c r="AB899" s="1794"/>
      <c r="AC899" s="1912"/>
      <c r="AD899" s="1911"/>
      <c r="AE899" s="1911"/>
      <c r="AF899" s="1910"/>
      <c r="AI899" s="1735" t="str">
        <f>"55:"&amp;IF(AND(I899="□",M899="□",Q899="□",U899="□",I900="□",M900="□"),"ketu_doctor_code:0",IF(I899="■","ketu_doctor_code:1:field197:1:ketu_kangos_code:1:ketu_kshoku_code:1:ketu_ksiensou_code:1",IF(M899="■","ketu_doctor_code:2","ketu_doctor_code:1")
&amp;IF(Q899="■",":field197:2",":field197:1")
&amp;IF(U899="■",":ketu_kangos_code:2",":ketu_kangos_code:1")
&amp;IF(I900="■",":ketu_kshoku_code:2",":ketu_kshoku_code:1")
&amp;IF(M900="■",":ketu_ksiensou_code:2",":ketu_ksiensou_code:1")))</f>
        <v>55:ketu_doctor_code:0</v>
      </c>
    </row>
    <row r="900" spans="1:36" s="1735" customFormat="1" ht="18.75" hidden="1" customHeight="1">
      <c r="A900" s="1766"/>
      <c r="B900" s="1765"/>
      <c r="C900" s="1916"/>
      <c r="D900" s="1915"/>
      <c r="E900" s="1762"/>
      <c r="F900" s="1761"/>
      <c r="G900" s="1762"/>
      <c r="H900" s="1921"/>
      <c r="I900" s="1758" t="s">
        <v>194</v>
      </c>
      <c r="J900" s="1780" t="s">
        <v>1565</v>
      </c>
      <c r="K900" s="1756"/>
      <c r="L900" s="1780"/>
      <c r="M900" s="1757" t="s">
        <v>194</v>
      </c>
      <c r="N900" s="1756" t="s">
        <v>1564</v>
      </c>
      <c r="O900" s="1756"/>
      <c r="P900" s="1780"/>
      <c r="Q900" s="1780"/>
      <c r="R900" s="1780"/>
      <c r="S900" s="1780"/>
      <c r="T900" s="1780"/>
      <c r="U900" s="1780"/>
      <c r="V900" s="1780"/>
      <c r="W900" s="1827"/>
      <c r="X900" s="1826"/>
      <c r="Y900" s="1914"/>
      <c r="Z900" s="1913"/>
      <c r="AA900" s="1913"/>
      <c r="AB900" s="1794"/>
      <c r="AC900" s="1912"/>
      <c r="AD900" s="1911"/>
      <c r="AE900" s="1911"/>
      <c r="AF900" s="1910"/>
    </row>
    <row r="901" spans="1:36" s="1735" customFormat="1" ht="18.75" hidden="1" customHeight="1">
      <c r="A901" s="1766"/>
      <c r="B901" s="1765"/>
      <c r="C901" s="1916"/>
      <c r="D901" s="1915"/>
      <c r="E901" s="1762"/>
      <c r="F901" s="1761"/>
      <c r="G901" s="1762"/>
      <c r="H901" s="1769" t="s">
        <v>757</v>
      </c>
      <c r="I901" s="1773" t="s">
        <v>194</v>
      </c>
      <c r="J901" s="1754" t="s">
        <v>758</v>
      </c>
      <c r="K901" s="1789"/>
      <c r="L901" s="1791"/>
      <c r="M901" s="1772" t="s">
        <v>194</v>
      </c>
      <c r="N901" s="1754" t="s">
        <v>759</v>
      </c>
      <c r="O901" s="1768"/>
      <c r="P901" s="1789"/>
      <c r="Q901" s="1789"/>
      <c r="R901" s="1789"/>
      <c r="S901" s="1789"/>
      <c r="T901" s="1789"/>
      <c r="U901" s="1789"/>
      <c r="V901" s="1789"/>
      <c r="W901" s="1789"/>
      <c r="X901" s="1918"/>
      <c r="Y901" s="1914"/>
      <c r="Z901" s="1913"/>
      <c r="AA901" s="1913"/>
      <c r="AB901" s="1794"/>
      <c r="AC901" s="1912"/>
      <c r="AD901" s="1911"/>
      <c r="AE901" s="1911"/>
      <c r="AF901" s="1910"/>
      <c r="AI901" s="1735" t="str">
        <f>"55:sintaikousoku_code:" &amp; IF(I901="■",1,IF(M901="■",2,0))</f>
        <v>55:sintaikousoku_code:0</v>
      </c>
    </row>
    <row r="902" spans="1:36" s="1735" customFormat="1" ht="18.75" hidden="1" customHeight="1">
      <c r="A902" s="1766"/>
      <c r="B902" s="1765"/>
      <c r="C902" s="1916"/>
      <c r="D902" s="1915"/>
      <c r="E902" s="1762"/>
      <c r="F902" s="1761"/>
      <c r="G902" s="1762"/>
      <c r="H902" s="1769" t="s">
        <v>448</v>
      </c>
      <c r="I902" s="1773" t="s">
        <v>194</v>
      </c>
      <c r="J902" s="1754" t="s">
        <v>758</v>
      </c>
      <c r="K902" s="1789"/>
      <c r="L902" s="1791"/>
      <c r="M902" s="1772" t="s">
        <v>194</v>
      </c>
      <c r="N902" s="1754" t="s">
        <v>759</v>
      </c>
      <c r="O902" s="1768"/>
      <c r="P902" s="1789"/>
      <c r="Q902" s="1789"/>
      <c r="R902" s="1789"/>
      <c r="S902" s="1789"/>
      <c r="T902" s="1789"/>
      <c r="U902" s="1789"/>
      <c r="V902" s="1789"/>
      <c r="W902" s="1789"/>
      <c r="X902" s="1918"/>
      <c r="Y902" s="1914"/>
      <c r="Z902" s="1913"/>
      <c r="AA902" s="1913"/>
      <c r="AB902" s="1794"/>
      <c r="AC902" s="1912"/>
      <c r="AD902" s="1911"/>
      <c r="AE902" s="1911"/>
      <c r="AF902" s="1910"/>
      <c r="AI902" s="1735" t="str">
        <f>"55:field208:" &amp; IF(I902="■",1,IF(M902="■",2,0))</f>
        <v>55:field208:0</v>
      </c>
    </row>
    <row r="903" spans="1:36" s="1735" customFormat="1" ht="19.5" hidden="1" customHeight="1">
      <c r="A903" s="1766"/>
      <c r="B903" s="1765"/>
      <c r="C903" s="1764"/>
      <c r="D903" s="1763"/>
      <c r="E903" s="1762"/>
      <c r="F903" s="1761"/>
      <c r="G903" s="1793"/>
      <c r="H903" s="1792" t="s">
        <v>760</v>
      </c>
      <c r="I903" s="1773" t="s">
        <v>194</v>
      </c>
      <c r="J903" s="1754" t="s">
        <v>758</v>
      </c>
      <c r="K903" s="1789"/>
      <c r="L903" s="1791"/>
      <c r="M903" s="1772" t="s">
        <v>194</v>
      </c>
      <c r="N903" s="1754" t="s">
        <v>761</v>
      </c>
      <c r="O903" s="1920"/>
      <c r="P903" s="1754"/>
      <c r="Q903" s="1768"/>
      <c r="R903" s="1768"/>
      <c r="S903" s="1768"/>
      <c r="T903" s="1768"/>
      <c r="U903" s="1768"/>
      <c r="V903" s="1768"/>
      <c r="W903" s="1768"/>
      <c r="X903" s="1767"/>
      <c r="Y903" s="1913"/>
      <c r="Z903" s="1913"/>
      <c r="AA903" s="1913"/>
      <c r="AB903" s="1794"/>
      <c r="AC903" s="1912"/>
      <c r="AD903" s="1911"/>
      <c r="AE903" s="1911"/>
      <c r="AF903" s="1910"/>
      <c r="AI903" s="1735" t="str">
        <f>"55:field223:" &amp; IF(I903="■",1,IF(M903="■",2,0))</f>
        <v>55:field223:0</v>
      </c>
    </row>
    <row r="904" spans="1:36" s="1735" customFormat="1" ht="19.5" hidden="1" customHeight="1">
      <c r="A904" s="1766"/>
      <c r="B904" s="1765"/>
      <c r="C904" s="1764"/>
      <c r="D904" s="1763"/>
      <c r="E904" s="1762"/>
      <c r="F904" s="1761"/>
      <c r="G904" s="1793"/>
      <c r="H904" s="1792" t="s">
        <v>762</v>
      </c>
      <c r="I904" s="1773" t="s">
        <v>194</v>
      </c>
      <c r="J904" s="1754" t="s">
        <v>758</v>
      </c>
      <c r="K904" s="1789"/>
      <c r="L904" s="1791"/>
      <c r="M904" s="1772" t="s">
        <v>194</v>
      </c>
      <c r="N904" s="1754" t="s">
        <v>761</v>
      </c>
      <c r="O904" s="1920"/>
      <c r="P904" s="1754"/>
      <c r="Q904" s="1768"/>
      <c r="R904" s="1768"/>
      <c r="S904" s="1768"/>
      <c r="T904" s="1768"/>
      <c r="U904" s="1768"/>
      <c r="V904" s="1768"/>
      <c r="W904" s="1768"/>
      <c r="X904" s="1767"/>
      <c r="Y904" s="1913"/>
      <c r="Z904" s="1913"/>
      <c r="AA904" s="1913"/>
      <c r="AB904" s="1794"/>
      <c r="AC904" s="1912"/>
      <c r="AD904" s="1911"/>
      <c r="AE904" s="1911"/>
      <c r="AF904" s="1910"/>
      <c r="AI904" s="1735" t="str">
        <f>"55:field232:" &amp; IF(I904="■",1,IF(M904="■",2,0))</f>
        <v>55:field232:0</v>
      </c>
    </row>
    <row r="905" spans="1:36" s="1735" customFormat="1" ht="18.75" hidden="1" customHeight="1">
      <c r="A905" s="1766"/>
      <c r="B905" s="1765"/>
      <c r="C905" s="1916"/>
      <c r="D905" s="1915"/>
      <c r="E905" s="1762"/>
      <c r="F905" s="1761"/>
      <c r="G905" s="1762"/>
      <c r="H905" s="1788" t="s">
        <v>763</v>
      </c>
      <c r="I905" s="1868" t="s">
        <v>194</v>
      </c>
      <c r="J905" s="1830" t="s">
        <v>750</v>
      </c>
      <c r="K905" s="1830"/>
      <c r="L905" s="1919" t="s">
        <v>194</v>
      </c>
      <c r="M905" s="1830" t="s">
        <v>764</v>
      </c>
      <c r="N905" s="1830"/>
      <c r="O905" s="1785"/>
      <c r="P905" s="1785"/>
      <c r="Q905" s="1785"/>
      <c r="R905" s="1785"/>
      <c r="S905" s="1785"/>
      <c r="T905" s="1785"/>
      <c r="U905" s="1785"/>
      <c r="V905" s="1785"/>
      <c r="W905" s="1785"/>
      <c r="X905" s="1784"/>
      <c r="Y905" s="1914"/>
      <c r="Z905" s="1913"/>
      <c r="AA905" s="1913"/>
      <c r="AB905" s="1794"/>
      <c r="AC905" s="1912"/>
      <c r="AD905" s="1911"/>
      <c r="AE905" s="1911"/>
      <c r="AF905" s="1910"/>
      <c r="AI905" s="1735" t="str">
        <f>"55:field206:" &amp; IF(I905="■",1,IF(L905="■",2,0))</f>
        <v>55:field206:0</v>
      </c>
    </row>
    <row r="906" spans="1:36" s="1735" customFormat="1" ht="18.75" hidden="1" customHeight="1">
      <c r="A906" s="1766"/>
      <c r="B906" s="1765"/>
      <c r="C906" s="1916"/>
      <c r="D906" s="1915"/>
      <c r="E906" s="1762"/>
      <c r="F906" s="1761"/>
      <c r="G906" s="1762"/>
      <c r="H906" s="1783"/>
      <c r="I906" s="1819"/>
      <c r="J906" s="1781"/>
      <c r="K906" s="1781"/>
      <c r="L906" s="1818"/>
      <c r="M906" s="1781"/>
      <c r="N906" s="1781"/>
      <c r="O906" s="1780"/>
      <c r="P906" s="1780"/>
      <c r="Q906" s="1780"/>
      <c r="R906" s="1780"/>
      <c r="S906" s="1780"/>
      <c r="T906" s="1780"/>
      <c r="U906" s="1780"/>
      <c r="V906" s="1780"/>
      <c r="W906" s="1780"/>
      <c r="X906" s="1779"/>
      <c r="Y906" s="1914"/>
      <c r="Z906" s="1913"/>
      <c r="AA906" s="1913"/>
      <c r="AB906" s="1794"/>
      <c r="AC906" s="1912"/>
      <c r="AD906" s="1911"/>
      <c r="AE906" s="1911"/>
      <c r="AF906" s="1910"/>
    </row>
    <row r="907" spans="1:36" s="1735" customFormat="1" ht="18.75" hidden="1" customHeight="1">
      <c r="A907" s="1776" t="s">
        <v>194</v>
      </c>
      <c r="B907" s="1765">
        <v>55</v>
      </c>
      <c r="C907" s="1916" t="s">
        <v>1587</v>
      </c>
      <c r="D907" s="1776" t="s">
        <v>194</v>
      </c>
      <c r="E907" s="1762" t="s">
        <v>1598</v>
      </c>
      <c r="F907" s="1776" t="s">
        <v>194</v>
      </c>
      <c r="G907" s="1762" t="s">
        <v>1561</v>
      </c>
      <c r="H907" s="1769" t="s">
        <v>1560</v>
      </c>
      <c r="I907" s="1773" t="s">
        <v>194</v>
      </c>
      <c r="J907" s="1754" t="s">
        <v>1557</v>
      </c>
      <c r="K907" s="1789"/>
      <c r="L907" s="1791"/>
      <c r="M907" s="1772" t="s">
        <v>194</v>
      </c>
      <c r="N907" s="1754" t="s">
        <v>1556</v>
      </c>
      <c r="O907" s="1768"/>
      <c r="P907" s="1789"/>
      <c r="Q907" s="1789"/>
      <c r="R907" s="1789"/>
      <c r="S907" s="1789"/>
      <c r="T907" s="1789"/>
      <c r="U907" s="1789"/>
      <c r="V907" s="1789"/>
      <c r="W907" s="1789"/>
      <c r="X907" s="1918"/>
      <c r="Y907" s="1914"/>
      <c r="Z907" s="1913"/>
      <c r="AA907" s="1913"/>
      <c r="AB907" s="1794"/>
      <c r="AC907" s="1912"/>
      <c r="AD907" s="1911"/>
      <c r="AE907" s="1911"/>
      <c r="AF907" s="1910"/>
      <c r="AI907" s="1735" t="str">
        <f>"55:field190:" &amp; IF(I907="■",1,IF(M907="■",2,0))</f>
        <v>55:field190:0</v>
      </c>
    </row>
    <row r="908" spans="1:36" s="1735" customFormat="1" ht="18.75" hidden="1" customHeight="1">
      <c r="A908" s="1766"/>
      <c r="B908" s="1765"/>
      <c r="C908" s="1916"/>
      <c r="D908" s="1915"/>
      <c r="E908" s="1762"/>
      <c r="F908" s="1915"/>
      <c r="G908" s="1762"/>
      <c r="H908" s="1769" t="s">
        <v>1558</v>
      </c>
      <c r="I908" s="1773" t="s">
        <v>194</v>
      </c>
      <c r="J908" s="1754" t="s">
        <v>1557</v>
      </c>
      <c r="K908" s="1789"/>
      <c r="L908" s="1791"/>
      <c r="M908" s="1772" t="s">
        <v>194</v>
      </c>
      <c r="N908" s="1754" t="s">
        <v>1556</v>
      </c>
      <c r="O908" s="1768"/>
      <c r="P908" s="1789"/>
      <c r="Q908" s="1789"/>
      <c r="R908" s="1789"/>
      <c r="S908" s="1789"/>
      <c r="T908" s="1789"/>
      <c r="U908" s="1789"/>
      <c r="V908" s="1789"/>
      <c r="W908" s="1789"/>
      <c r="X908" s="1918"/>
      <c r="Y908" s="1914"/>
      <c r="Z908" s="1913"/>
      <c r="AA908" s="1913"/>
      <c r="AB908" s="1794"/>
      <c r="AC908" s="1912"/>
      <c r="AD908" s="1911"/>
      <c r="AE908" s="1911"/>
      <c r="AF908" s="1910"/>
      <c r="AI908" s="1735" t="str">
        <f>"55:field191:" &amp; IF(I908="■",1,IF(M908="■",2,0))</f>
        <v>55:field191:0</v>
      </c>
    </row>
    <row r="909" spans="1:36" s="1735" customFormat="1" ht="18.75" hidden="1" customHeight="1">
      <c r="A909" s="1766"/>
      <c r="B909" s="1765"/>
      <c r="C909" s="1916"/>
      <c r="D909" s="1915"/>
      <c r="E909" s="1762"/>
      <c r="F909" s="1915"/>
      <c r="G909" s="1762"/>
      <c r="H909" s="1769" t="s">
        <v>1555</v>
      </c>
      <c r="I909" s="1758" t="s">
        <v>194</v>
      </c>
      <c r="J909" s="1756" t="s">
        <v>750</v>
      </c>
      <c r="K909" s="1755"/>
      <c r="L909" s="1757" t="s">
        <v>194</v>
      </c>
      <c r="M909" s="1756" t="s">
        <v>764</v>
      </c>
      <c r="N909" s="1771"/>
      <c r="O909" s="1789"/>
      <c r="P909" s="1789"/>
      <c r="Q909" s="1789"/>
      <c r="R909" s="1789"/>
      <c r="S909" s="1789"/>
      <c r="T909" s="1789"/>
      <c r="U909" s="1789"/>
      <c r="V909" s="1789"/>
      <c r="W909" s="1789"/>
      <c r="X909" s="1918"/>
      <c r="Y909" s="1914"/>
      <c r="Z909" s="1913"/>
      <c r="AA909" s="1913"/>
      <c r="AB909" s="1794"/>
      <c r="AC909" s="1912"/>
      <c r="AD909" s="1911"/>
      <c r="AE909" s="1911"/>
      <c r="AF909" s="1910"/>
      <c r="AI909" s="1735" t="str">
        <f>"55:jyakuninti_uke_code:" &amp; IF(I909="■",1,IF(L909="■",2,0))</f>
        <v>55:jyakuninti_uke_code:0</v>
      </c>
    </row>
    <row r="910" spans="1:36" s="1735" customFormat="1" ht="18.75" hidden="1" customHeight="1">
      <c r="A910" s="1766"/>
      <c r="B910" s="1765"/>
      <c r="C910" s="1916"/>
      <c r="D910" s="1915"/>
      <c r="E910" s="1762"/>
      <c r="F910" s="1915"/>
      <c r="G910" s="1762"/>
      <c r="H910" s="1769" t="s">
        <v>786</v>
      </c>
      <c r="I910" s="1758" t="s">
        <v>194</v>
      </c>
      <c r="J910" s="1756" t="s">
        <v>750</v>
      </c>
      <c r="K910" s="1755"/>
      <c r="L910" s="1757" t="s">
        <v>194</v>
      </c>
      <c r="M910" s="1756" t="s">
        <v>764</v>
      </c>
      <c r="N910" s="1771"/>
      <c r="O910" s="1789"/>
      <c r="P910" s="1789"/>
      <c r="Q910" s="1789"/>
      <c r="R910" s="1789"/>
      <c r="S910" s="1789"/>
      <c r="T910" s="1789"/>
      <c r="U910" s="1789"/>
      <c r="V910" s="1789"/>
      <c r="W910" s="1789"/>
      <c r="X910" s="1918"/>
      <c r="Y910" s="1914"/>
      <c r="Z910" s="1913"/>
      <c r="AA910" s="1913"/>
      <c r="AB910" s="1794"/>
      <c r="AC910" s="1912"/>
      <c r="AD910" s="1911"/>
      <c r="AE910" s="1911"/>
      <c r="AF910" s="1910"/>
      <c r="AI910" s="1735" t="str">
        <f>"55:field207:" &amp; IF(I910="■",1,IF(L910="■",2,0))</f>
        <v>55:field207:0</v>
      </c>
    </row>
    <row r="911" spans="1:36" s="1735" customFormat="1" ht="18.75" hidden="1" customHeight="1">
      <c r="A911" s="1766"/>
      <c r="B911" s="1765"/>
      <c r="C911" s="1916"/>
      <c r="D911" s="1915"/>
      <c r="E911" s="1762"/>
      <c r="F911" s="1761"/>
      <c r="G911" s="1762"/>
      <c r="H911" s="1769" t="s">
        <v>787</v>
      </c>
      <c r="I911" s="1758" t="s">
        <v>195</v>
      </c>
      <c r="J911" s="1756" t="s">
        <v>750</v>
      </c>
      <c r="K911" s="1755"/>
      <c r="L911" s="1757" t="s">
        <v>194</v>
      </c>
      <c r="M911" s="1756" t="s">
        <v>764</v>
      </c>
      <c r="N911" s="1771"/>
      <c r="O911" s="1789"/>
      <c r="P911" s="1789"/>
      <c r="Q911" s="1789"/>
      <c r="R911" s="1789"/>
      <c r="S911" s="1789"/>
      <c r="T911" s="1789"/>
      <c r="U911" s="1789"/>
      <c r="V911" s="1789"/>
      <c r="W911" s="1789"/>
      <c r="X911" s="1918"/>
      <c r="Y911" s="1914"/>
      <c r="Z911" s="1913"/>
      <c r="AA911" s="1913"/>
      <c r="AB911" s="1794"/>
      <c r="AC911" s="1912"/>
      <c r="AD911" s="1911"/>
      <c r="AE911" s="1911"/>
      <c r="AF911" s="1910"/>
      <c r="AI911" s="1735" t="str">
        <f>"55:ryouyoushoku_code:" &amp; IF(I911="■",1,IF(L911="■",2,0))</f>
        <v>55:ryouyoushoku_code:0</v>
      </c>
    </row>
    <row r="912" spans="1:36" s="1735" customFormat="1" ht="18.75" hidden="1" customHeight="1">
      <c r="A912" s="1766"/>
      <c r="B912" s="1765"/>
      <c r="C912" s="1916"/>
      <c r="D912" s="1915"/>
      <c r="E912" s="1762"/>
      <c r="F912" s="1761"/>
      <c r="G912" s="1762"/>
      <c r="H912" s="1769" t="s">
        <v>791</v>
      </c>
      <c r="I912" s="1773" t="s">
        <v>194</v>
      </c>
      <c r="J912" s="1754" t="s">
        <v>750</v>
      </c>
      <c r="K912" s="1754"/>
      <c r="L912" s="1772" t="s">
        <v>194</v>
      </c>
      <c r="M912" s="1754" t="s">
        <v>784</v>
      </c>
      <c r="N912" s="1754"/>
      <c r="O912" s="1772" t="s">
        <v>194</v>
      </c>
      <c r="P912" s="1754" t="s">
        <v>785</v>
      </c>
      <c r="Q912" s="1768"/>
      <c r="R912" s="1789"/>
      <c r="S912" s="1789"/>
      <c r="T912" s="1789"/>
      <c r="U912" s="1789"/>
      <c r="V912" s="1789"/>
      <c r="W912" s="1789"/>
      <c r="X912" s="1918"/>
      <c r="Y912" s="1914"/>
      <c r="Z912" s="1913"/>
      <c r="AA912" s="1913"/>
      <c r="AB912" s="1794"/>
      <c r="AC912" s="1912"/>
      <c r="AD912" s="1911"/>
      <c r="AE912" s="1911"/>
      <c r="AF912" s="1910"/>
      <c r="AI912" s="1735" t="str">
        <f>"55:ninti_senmoncare_code:" &amp; IF(I912="■",1,IF(O912="■",3,IF(L912="■",2,0)))</f>
        <v>55:ninti_senmoncare_code:0</v>
      </c>
    </row>
    <row r="913" spans="1:36" s="1735" customFormat="1" ht="18.75" hidden="1" customHeight="1">
      <c r="A913" s="1766"/>
      <c r="B913" s="1765"/>
      <c r="C913" s="1916"/>
      <c r="D913" s="1915"/>
      <c r="E913" s="1762"/>
      <c r="F913" s="1761"/>
      <c r="G913" s="1762"/>
      <c r="H913" s="1769" t="s">
        <v>792</v>
      </c>
      <c r="I913" s="1773" t="s">
        <v>194</v>
      </c>
      <c r="J913" s="1754" t="s">
        <v>750</v>
      </c>
      <c r="K913" s="1754"/>
      <c r="L913" s="1772" t="s">
        <v>194</v>
      </c>
      <c r="M913" s="1754" t="s">
        <v>784</v>
      </c>
      <c r="N913" s="1754"/>
      <c r="O913" s="1772" t="s">
        <v>194</v>
      </c>
      <c r="P913" s="1754" t="s">
        <v>785</v>
      </c>
      <c r="Q913" s="1789"/>
      <c r="R913" s="1789"/>
      <c r="S913" s="1789"/>
      <c r="T913" s="1789"/>
      <c r="U913" s="1789"/>
      <c r="V913" s="1789"/>
      <c r="W913" s="1789"/>
      <c r="X913" s="1918"/>
      <c r="Y913" s="1914"/>
      <c r="Z913" s="1913"/>
      <c r="AA913" s="1913"/>
      <c r="AB913" s="1794"/>
      <c r="AC913" s="1912"/>
      <c r="AD913" s="1911"/>
      <c r="AE913" s="1911"/>
      <c r="AF913" s="1910"/>
      <c r="AI913" s="1735" t="str">
        <f>"55:field228:" &amp; IF(I913="■",1,IF(L913="■",2,IF(O913="■",3,0)))</f>
        <v>55:field228:0</v>
      </c>
    </row>
    <row r="914" spans="1:36" s="1735" customFormat="1" ht="18.75" hidden="1" customHeight="1">
      <c r="A914" s="1766"/>
      <c r="B914" s="1765"/>
      <c r="C914" s="1916"/>
      <c r="D914" s="1915"/>
      <c r="E914" s="1762"/>
      <c r="F914" s="1761"/>
      <c r="G914" s="1762"/>
      <c r="H914" s="1769" t="s">
        <v>1554</v>
      </c>
      <c r="I914" s="1773" t="s">
        <v>194</v>
      </c>
      <c r="J914" s="1754" t="s">
        <v>750</v>
      </c>
      <c r="K914" s="1754"/>
      <c r="L914" s="1772" t="s">
        <v>194</v>
      </c>
      <c r="M914" s="1754" t="s">
        <v>784</v>
      </c>
      <c r="N914" s="1754"/>
      <c r="O914" s="1772" t="s">
        <v>194</v>
      </c>
      <c r="P914" s="1754" t="s">
        <v>785</v>
      </c>
      <c r="Q914" s="1768"/>
      <c r="R914" s="1754"/>
      <c r="S914" s="1754"/>
      <c r="T914" s="1754"/>
      <c r="U914" s="1754"/>
      <c r="V914" s="1754"/>
      <c r="W914" s="1754"/>
      <c r="X914" s="1753"/>
      <c r="Y914" s="1914"/>
      <c r="Z914" s="1913"/>
      <c r="AA914" s="1913"/>
      <c r="AB914" s="1794"/>
      <c r="AC914" s="1912"/>
      <c r="AD914" s="1911"/>
      <c r="AE914" s="1911"/>
      <c r="AF914" s="1910"/>
      <c r="AI914" s="1735" t="str">
        <f>"55:field164:" &amp; IF(I914="■",1,IF(L914="■",2,IF(O914="■",3,0)))</f>
        <v>55:field164:0</v>
      </c>
    </row>
    <row r="915" spans="1:36" s="1735" customFormat="1" ht="18.75" hidden="1" customHeight="1">
      <c r="A915" s="1766"/>
      <c r="B915" s="1765"/>
      <c r="C915" s="1916"/>
      <c r="D915" s="1915"/>
      <c r="E915" s="1762"/>
      <c r="F915" s="1761"/>
      <c r="G915" s="1762"/>
      <c r="H915" s="1769" t="s">
        <v>1124</v>
      </c>
      <c r="I915" s="1773" t="s">
        <v>194</v>
      </c>
      <c r="J915" s="1754" t="s">
        <v>750</v>
      </c>
      <c r="K915" s="1754"/>
      <c r="L915" s="1772" t="s">
        <v>194</v>
      </c>
      <c r="M915" s="1756" t="s">
        <v>764</v>
      </c>
      <c r="N915" s="1754"/>
      <c r="O915" s="1754"/>
      <c r="P915" s="1754"/>
      <c r="Q915" s="1789"/>
      <c r="R915" s="1789"/>
      <c r="S915" s="1789"/>
      <c r="T915" s="1789"/>
      <c r="U915" s="1789"/>
      <c r="V915" s="1789"/>
      <c r="W915" s="1789"/>
      <c r="X915" s="1918"/>
      <c r="Y915" s="1914"/>
      <c r="Z915" s="1913"/>
      <c r="AA915" s="1913"/>
      <c r="AB915" s="1794"/>
      <c r="AC915" s="1912"/>
      <c r="AD915" s="1911"/>
      <c r="AE915" s="1911"/>
      <c r="AF915" s="1910"/>
      <c r="AI915" s="1735" t="str">
        <f>"55:field226:" &amp; IF(I915="■",1,IF(L915="■",2,0))</f>
        <v>55:field226:0</v>
      </c>
    </row>
    <row r="916" spans="1:36" s="1735" customFormat="1" ht="18.75" hidden="1" customHeight="1">
      <c r="A916" s="1766"/>
      <c r="B916" s="1765"/>
      <c r="C916" s="1916"/>
      <c r="D916" s="1915"/>
      <c r="E916" s="1762"/>
      <c r="F916" s="1761"/>
      <c r="G916" s="1762"/>
      <c r="H916" s="1769" t="s">
        <v>1125</v>
      </c>
      <c r="I916" s="1773" t="s">
        <v>194</v>
      </c>
      <c r="J916" s="1754" t="s">
        <v>750</v>
      </c>
      <c r="K916" s="1754"/>
      <c r="L916" s="1772" t="s">
        <v>194</v>
      </c>
      <c r="M916" s="1756" t="s">
        <v>764</v>
      </c>
      <c r="N916" s="1754"/>
      <c r="O916" s="1754"/>
      <c r="P916" s="1754"/>
      <c r="Q916" s="1789"/>
      <c r="R916" s="1789"/>
      <c r="S916" s="1789"/>
      <c r="T916" s="1789"/>
      <c r="U916" s="1789"/>
      <c r="V916" s="1789"/>
      <c r="W916" s="1789"/>
      <c r="X916" s="1918"/>
      <c r="Y916" s="1914"/>
      <c r="Z916" s="1913"/>
      <c r="AA916" s="1913"/>
      <c r="AB916" s="1794"/>
      <c r="AC916" s="1912"/>
      <c r="AD916" s="1911"/>
      <c r="AE916" s="1911"/>
      <c r="AF916" s="1910"/>
      <c r="AI916" s="1735" t="str">
        <f>"55:field227:" &amp; IF(I916="■",1,IF(L916="■",2,0))</f>
        <v>55:field227:0</v>
      </c>
    </row>
    <row r="917" spans="1:36" s="1735" customFormat="1" ht="18.75" hidden="1" customHeight="1">
      <c r="A917" s="1766"/>
      <c r="B917" s="1765"/>
      <c r="C917" s="1916"/>
      <c r="D917" s="1915"/>
      <c r="E917" s="1762"/>
      <c r="F917" s="1761"/>
      <c r="G917" s="1762"/>
      <c r="H917" s="1917" t="s">
        <v>794</v>
      </c>
      <c r="I917" s="1773" t="s">
        <v>194</v>
      </c>
      <c r="J917" s="1754" t="s">
        <v>750</v>
      </c>
      <c r="K917" s="1754"/>
      <c r="L917" s="1772" t="s">
        <v>194</v>
      </c>
      <c r="M917" s="1754" t="s">
        <v>784</v>
      </c>
      <c r="N917" s="1754"/>
      <c r="O917" s="1772" t="s">
        <v>194</v>
      </c>
      <c r="P917" s="1754" t="s">
        <v>785</v>
      </c>
      <c r="Q917" s="1768"/>
      <c r="R917" s="1768"/>
      <c r="S917" s="1768"/>
      <c r="T917" s="1768"/>
      <c r="U917" s="1829"/>
      <c r="V917" s="1829"/>
      <c r="W917" s="1829"/>
      <c r="X917" s="1828"/>
      <c r="Y917" s="1914"/>
      <c r="Z917" s="1913"/>
      <c r="AA917" s="1913"/>
      <c r="AB917" s="1794"/>
      <c r="AC917" s="1912"/>
      <c r="AD917" s="1911"/>
      <c r="AE917" s="1911"/>
      <c r="AF917" s="1910"/>
      <c r="AI917" s="1735" t="str">
        <f>"55:field225:" &amp; IF(I917="■",1,IF(L917="■",2,IF(O917="■",3,0)))</f>
        <v>55:field225:0</v>
      </c>
    </row>
    <row r="918" spans="1:36" s="1735" customFormat="1" ht="18.75" hidden="1" customHeight="1">
      <c r="A918" s="1766"/>
      <c r="B918" s="1765"/>
      <c r="C918" s="1916"/>
      <c r="D918" s="1915"/>
      <c r="E918" s="1762"/>
      <c r="F918" s="1761"/>
      <c r="G918" s="1762"/>
      <c r="H918" s="1769" t="s">
        <v>795</v>
      </c>
      <c r="I918" s="1773" t="s">
        <v>194</v>
      </c>
      <c r="J918" s="1754" t="s">
        <v>750</v>
      </c>
      <c r="K918" s="1754"/>
      <c r="L918" s="1772" t="s">
        <v>194</v>
      </c>
      <c r="M918" s="1754" t="s">
        <v>796</v>
      </c>
      <c r="N918" s="1754"/>
      <c r="O918" s="1772" t="s">
        <v>194</v>
      </c>
      <c r="P918" s="1754" t="s">
        <v>797</v>
      </c>
      <c r="Q918" s="1771"/>
      <c r="R918" s="1772" t="s">
        <v>194</v>
      </c>
      <c r="S918" s="1754" t="s">
        <v>798</v>
      </c>
      <c r="T918" s="1754"/>
      <c r="U918" s="1754"/>
      <c r="V918" s="1754"/>
      <c r="W918" s="1754"/>
      <c r="X918" s="1753"/>
      <c r="Y918" s="1914"/>
      <c r="Z918" s="1913"/>
      <c r="AA918" s="1913"/>
      <c r="AB918" s="1794"/>
      <c r="AC918" s="1912"/>
      <c r="AD918" s="1911"/>
      <c r="AE918" s="1911"/>
      <c r="AF918" s="1910"/>
      <c r="AI918" s="1735" t="str">
        <f>"55:serteikyo_kyoka_code:" &amp; IF(I918="■",1,IF(L918="■",6,IF(O918="■",5,IF(R918="■",7,0))))</f>
        <v>55:serteikyo_kyoka_code:0</v>
      </c>
    </row>
    <row r="919" spans="1:36" s="1735" customFormat="1" ht="18.75" hidden="1" customHeight="1">
      <c r="A919" s="1766"/>
      <c r="B919" s="1765"/>
      <c r="C919" s="1764"/>
      <c r="D919" s="1763"/>
      <c r="E919" s="1762"/>
      <c r="F919" s="1761"/>
      <c r="G919" s="1793"/>
      <c r="H919" s="1952" t="s">
        <v>1553</v>
      </c>
      <c r="I919" s="1924" t="s">
        <v>194</v>
      </c>
      <c r="J919" s="1948" t="s">
        <v>750</v>
      </c>
      <c r="K919" s="1948"/>
      <c r="L919" s="1922" t="s">
        <v>194</v>
      </c>
      <c r="M919" s="1948" t="s">
        <v>1552</v>
      </c>
      <c r="N919" s="1951"/>
      <c r="O919" s="1922" t="s">
        <v>194</v>
      </c>
      <c r="P919" s="1950" t="s">
        <v>1551</v>
      </c>
      <c r="Q919" s="1949"/>
      <c r="R919" s="1922" t="s">
        <v>194</v>
      </c>
      <c r="S919" s="1948" t="s">
        <v>1550</v>
      </c>
      <c r="T919" s="1949"/>
      <c r="U919" s="1922" t="s">
        <v>194</v>
      </c>
      <c r="V919" s="1948" t="s">
        <v>1549</v>
      </c>
      <c r="W919" s="1947"/>
      <c r="X919" s="1946"/>
      <c r="Y919" s="1913"/>
      <c r="Z919" s="1913"/>
      <c r="AA919" s="1913"/>
      <c r="AB919" s="1794"/>
      <c r="AC919" s="1912"/>
      <c r="AD919" s="1911"/>
      <c r="AE919" s="1911"/>
      <c r="AF919" s="1910"/>
      <c r="AI919" s="1735" t="str">
        <f>"55:shoguukaizen_code:"&amp;IF(I919="■",1,IF(L919="■",7,IF(O919="■",8,IF(R919="■",9,IF(U919="■","A",0)))))</f>
        <v>55:shoguukaizen_code:0</v>
      </c>
    </row>
    <row r="920" spans="1:36" s="1735" customFormat="1" ht="18.75" hidden="1" customHeight="1">
      <c r="A920" s="1807"/>
      <c r="B920" s="1806"/>
      <c r="C920" s="1934"/>
      <c r="D920" s="1933"/>
      <c r="E920" s="1804"/>
      <c r="F920" s="1803"/>
      <c r="G920" s="1804"/>
      <c r="H920" s="1885" t="s">
        <v>746</v>
      </c>
      <c r="I920" s="1873" t="s">
        <v>194</v>
      </c>
      <c r="J920" s="1872" t="s">
        <v>747</v>
      </c>
      <c r="K920" s="1932"/>
      <c r="L920" s="1930"/>
      <c r="M920" s="1931" t="s">
        <v>194</v>
      </c>
      <c r="N920" s="1872" t="s">
        <v>1572</v>
      </c>
      <c r="O920" s="1930"/>
      <c r="P920" s="1930"/>
      <c r="Q920" s="1931" t="s">
        <v>194</v>
      </c>
      <c r="R920" s="1872" t="s">
        <v>1571</v>
      </c>
      <c r="S920" s="1930"/>
      <c r="T920" s="1930"/>
      <c r="U920" s="1931" t="s">
        <v>194</v>
      </c>
      <c r="V920" s="1872" t="s">
        <v>1570</v>
      </c>
      <c r="W920" s="1930"/>
      <c r="X920" s="1886"/>
      <c r="Y920" s="1873" t="s">
        <v>194</v>
      </c>
      <c r="Z920" s="1872" t="s">
        <v>749</v>
      </c>
      <c r="AA920" s="1872"/>
      <c r="AB920" s="1929"/>
      <c r="AC920" s="1928"/>
      <c r="AD920" s="1927"/>
      <c r="AE920" s="1927"/>
      <c r="AF920" s="1926"/>
      <c r="AG920" s="1735" t="str">
        <f>"ser_code = '" &amp; IF(A930="■",55,"") &amp; "'"</f>
        <v>ser_code = ''</v>
      </c>
      <c r="AH920" s="1735" t="str">
        <f>"55:jininkbn_code:" &amp; IF(F930="■",2,0)</f>
        <v>55:jininkbn_code:0</v>
      </c>
      <c r="AI920" s="1735" t="str">
        <f>"55:yakan_kinmu_code:" &amp; IF(I920="■",1,IF(M920="■",2,IF(Q920="■",3,IF(U920="■",AJ7589,IF(I921="■",5,IF(M921="■",6,0))))))</f>
        <v>55:yakan_kinmu_code:0</v>
      </c>
      <c r="AJ920" s="1735" t="str">
        <f>"55:field203:" &amp; IF(Y920="■",1,IF(Y921="■",2,0))</f>
        <v>55:field203:0</v>
      </c>
    </row>
    <row r="921" spans="1:36" s="1735" customFormat="1" ht="18.75" hidden="1" customHeight="1">
      <c r="A921" s="1766"/>
      <c r="B921" s="1765"/>
      <c r="C921" s="1916"/>
      <c r="D921" s="1915"/>
      <c r="E921" s="1762"/>
      <c r="F921" s="1761"/>
      <c r="G921" s="1762"/>
      <c r="H921" s="1921"/>
      <c r="I921" s="1758" t="s">
        <v>194</v>
      </c>
      <c r="J921" s="1756" t="s">
        <v>1569</v>
      </c>
      <c r="K921" s="1755"/>
      <c r="L921" s="1780"/>
      <c r="M921" s="1757" t="s">
        <v>194</v>
      </c>
      <c r="N921" s="1756" t="s">
        <v>748</v>
      </c>
      <c r="O921" s="1780"/>
      <c r="P921" s="1780"/>
      <c r="Q921" s="1780"/>
      <c r="R921" s="1780"/>
      <c r="S921" s="1780"/>
      <c r="T921" s="1780"/>
      <c r="U921" s="1780"/>
      <c r="V921" s="1780"/>
      <c r="W921" s="1780"/>
      <c r="X921" s="1779"/>
      <c r="Y921" s="1776" t="s">
        <v>194</v>
      </c>
      <c r="Z921" s="1738" t="s">
        <v>754</v>
      </c>
      <c r="AA921" s="1913"/>
      <c r="AB921" s="1794"/>
      <c r="AC921" s="1912"/>
      <c r="AD921" s="1911"/>
      <c r="AE921" s="1911"/>
      <c r="AF921" s="1910"/>
      <c r="AG921" s="1735" t="str">
        <f>"55:sisetukbn_code:" &amp; IF(D930="■",3,0)</f>
        <v>55:sisetukbn_code:0</v>
      </c>
    </row>
    <row r="922" spans="1:36" s="1735" customFormat="1" ht="18.75" hidden="1" customHeight="1">
      <c r="A922" s="1766"/>
      <c r="B922" s="1765"/>
      <c r="C922" s="1916"/>
      <c r="D922" s="1915"/>
      <c r="E922" s="1762"/>
      <c r="F922" s="1761"/>
      <c r="G922" s="1762"/>
      <c r="H922" s="1925" t="s">
        <v>98</v>
      </c>
      <c r="I922" s="1924" t="s">
        <v>194</v>
      </c>
      <c r="J922" s="1923" t="s">
        <v>750</v>
      </c>
      <c r="K922" s="1923"/>
      <c r="L922" s="1785"/>
      <c r="M922" s="1922" t="s">
        <v>194</v>
      </c>
      <c r="N922" s="1923" t="s">
        <v>1568</v>
      </c>
      <c r="O922" s="1923"/>
      <c r="P922" s="1785"/>
      <c r="Q922" s="1922" t="s">
        <v>194</v>
      </c>
      <c r="R922" s="1785" t="s">
        <v>1567</v>
      </c>
      <c r="S922" s="1785"/>
      <c r="T922" s="1785"/>
      <c r="U922" s="1922" t="s">
        <v>194</v>
      </c>
      <c r="V922" s="1785" t="s">
        <v>1566</v>
      </c>
      <c r="W922" s="1829"/>
      <c r="X922" s="1828"/>
      <c r="Y922" s="1914"/>
      <c r="Z922" s="1913"/>
      <c r="AA922" s="1913"/>
      <c r="AB922" s="1794"/>
      <c r="AC922" s="1912"/>
      <c r="AD922" s="1911"/>
      <c r="AE922" s="1911"/>
      <c r="AF922" s="1910"/>
      <c r="AI922" s="1735" t="str">
        <f>"55:"&amp;IF(AND(I922="□",M922="□",Q922="□",U922="□",I923="□",M923="□"),"ketu_doctor_code:0",IF(I922="■","ketu_doctor_code:1:field197:1:ketu_kangos_code:1:ketu_kshoku_code:1:ketu_ksiensou_code:1",IF(M922="■","ketu_doctor_code:2","ketu_doctor_code:1")
&amp;IF(Q922="■",":field197:2",":field197:1")
&amp;IF(U922="■",":ketu_kangos_code:2",":ketu_kangos_code:1")
&amp;IF(I923="■",":ketu_kshoku_code:2",":ketu_kshoku_code:1")
&amp;IF(M923="■",":ketu_ksiensou_code:2",":ketu_ksiensou_code:1")))</f>
        <v>55:ketu_doctor_code:0</v>
      </c>
    </row>
    <row r="923" spans="1:36" s="1735" customFormat="1" ht="18.75" hidden="1" customHeight="1">
      <c r="A923" s="1766"/>
      <c r="B923" s="1765"/>
      <c r="C923" s="1916"/>
      <c r="D923" s="1915"/>
      <c r="E923" s="1762"/>
      <c r="F923" s="1761"/>
      <c r="G923" s="1762"/>
      <c r="H923" s="1921"/>
      <c r="I923" s="1758" t="s">
        <v>194</v>
      </c>
      <c r="J923" s="1780" t="s">
        <v>1565</v>
      </c>
      <c r="K923" s="1756"/>
      <c r="L923" s="1780"/>
      <c r="M923" s="1757" t="s">
        <v>194</v>
      </c>
      <c r="N923" s="1756" t="s">
        <v>1564</v>
      </c>
      <c r="O923" s="1756"/>
      <c r="P923" s="1780"/>
      <c r="Q923" s="1780"/>
      <c r="R923" s="1780"/>
      <c r="S923" s="1780"/>
      <c r="T923" s="1780"/>
      <c r="U923" s="1780"/>
      <c r="V923" s="1780"/>
      <c r="W923" s="1827"/>
      <c r="X923" s="1826"/>
      <c r="Y923" s="1914"/>
      <c r="Z923" s="1913"/>
      <c r="AA923" s="1913"/>
      <c r="AB923" s="1794"/>
      <c r="AC923" s="1912"/>
      <c r="AD923" s="1911"/>
      <c r="AE923" s="1911"/>
      <c r="AF923" s="1910"/>
    </row>
    <row r="924" spans="1:36" s="1735" customFormat="1" ht="18.75" hidden="1" customHeight="1">
      <c r="A924" s="1766"/>
      <c r="B924" s="1765"/>
      <c r="C924" s="1916"/>
      <c r="D924" s="1915"/>
      <c r="E924" s="1762"/>
      <c r="F924" s="1761"/>
      <c r="G924" s="1762"/>
      <c r="H924" s="1769" t="s">
        <v>757</v>
      </c>
      <c r="I924" s="1773" t="s">
        <v>194</v>
      </c>
      <c r="J924" s="1754" t="s">
        <v>758</v>
      </c>
      <c r="K924" s="1789"/>
      <c r="L924" s="1791"/>
      <c r="M924" s="1772" t="s">
        <v>194</v>
      </c>
      <c r="N924" s="1754" t="s">
        <v>759</v>
      </c>
      <c r="O924" s="1768"/>
      <c r="P924" s="1789"/>
      <c r="Q924" s="1789"/>
      <c r="R924" s="1789"/>
      <c r="S924" s="1789"/>
      <c r="T924" s="1789"/>
      <c r="U924" s="1789"/>
      <c r="V924" s="1789"/>
      <c r="W924" s="1789"/>
      <c r="X924" s="1918"/>
      <c r="Y924" s="1914"/>
      <c r="Z924" s="1913"/>
      <c r="AA924" s="1913"/>
      <c r="AB924" s="1794"/>
      <c r="AC924" s="1912"/>
      <c r="AD924" s="1911"/>
      <c r="AE924" s="1911"/>
      <c r="AF924" s="1910"/>
      <c r="AI924" s="1735" t="str">
        <f>"55:sintaikousoku_code:" &amp; IF(I924="■",1,IF(M924="■",2,0))</f>
        <v>55:sintaikousoku_code:0</v>
      </c>
    </row>
    <row r="925" spans="1:36" s="1735" customFormat="1" ht="18.75" hidden="1" customHeight="1">
      <c r="A925" s="1766"/>
      <c r="B925" s="1765"/>
      <c r="C925" s="1916"/>
      <c r="D925" s="1915"/>
      <c r="E925" s="1762"/>
      <c r="F925" s="1761"/>
      <c r="G925" s="1762"/>
      <c r="H925" s="1769" t="s">
        <v>448</v>
      </c>
      <c r="I925" s="1773" t="s">
        <v>194</v>
      </c>
      <c r="J925" s="1754" t="s">
        <v>758</v>
      </c>
      <c r="K925" s="1789"/>
      <c r="L925" s="1791"/>
      <c r="M925" s="1772" t="s">
        <v>194</v>
      </c>
      <c r="N925" s="1754" t="s">
        <v>759</v>
      </c>
      <c r="O925" s="1768"/>
      <c r="P925" s="1789"/>
      <c r="Q925" s="1789"/>
      <c r="R925" s="1789"/>
      <c r="S925" s="1789"/>
      <c r="T925" s="1789"/>
      <c r="U925" s="1789"/>
      <c r="V925" s="1789"/>
      <c r="W925" s="1789"/>
      <c r="X925" s="1918"/>
      <c r="Y925" s="1914"/>
      <c r="Z925" s="1913"/>
      <c r="AA925" s="1913"/>
      <c r="AB925" s="1794"/>
      <c r="AC925" s="1912"/>
      <c r="AD925" s="1911"/>
      <c r="AE925" s="1911"/>
      <c r="AF925" s="1910"/>
      <c r="AI925" s="1735" t="str">
        <f>"55:field208:" &amp; IF(I925="■",1,IF(M925="■",2,0))</f>
        <v>55:field208:0</v>
      </c>
    </row>
    <row r="926" spans="1:36" s="1735" customFormat="1" ht="19.5" hidden="1" customHeight="1">
      <c r="A926" s="1766"/>
      <c r="B926" s="1765"/>
      <c r="C926" s="1764"/>
      <c r="D926" s="1763"/>
      <c r="E926" s="1762"/>
      <c r="F926" s="1761"/>
      <c r="G926" s="1793"/>
      <c r="H926" s="1792" t="s">
        <v>760</v>
      </c>
      <c r="I926" s="1773" t="s">
        <v>194</v>
      </c>
      <c r="J926" s="1754" t="s">
        <v>758</v>
      </c>
      <c r="K926" s="1789"/>
      <c r="L926" s="1791"/>
      <c r="M926" s="1772" t="s">
        <v>194</v>
      </c>
      <c r="N926" s="1754" t="s">
        <v>761</v>
      </c>
      <c r="O926" s="1920"/>
      <c r="P926" s="1754"/>
      <c r="Q926" s="1768"/>
      <c r="R926" s="1768"/>
      <c r="S926" s="1768"/>
      <c r="T926" s="1768"/>
      <c r="U926" s="1768"/>
      <c r="V926" s="1768"/>
      <c r="W926" s="1768"/>
      <c r="X926" s="1767"/>
      <c r="Y926" s="1913"/>
      <c r="Z926" s="1913"/>
      <c r="AA926" s="1913"/>
      <c r="AB926" s="1794"/>
      <c r="AC926" s="1912"/>
      <c r="AD926" s="1911"/>
      <c r="AE926" s="1911"/>
      <c r="AF926" s="1910"/>
      <c r="AI926" s="1735" t="str">
        <f>"55:field223:" &amp; IF(I926="■",1,IF(M926="■",2,0))</f>
        <v>55:field223:0</v>
      </c>
    </row>
    <row r="927" spans="1:36" s="1735" customFormat="1" ht="19.5" hidden="1" customHeight="1">
      <c r="A927" s="1766"/>
      <c r="B927" s="1765"/>
      <c r="C927" s="1764"/>
      <c r="D927" s="1763"/>
      <c r="E927" s="1762"/>
      <c r="F927" s="1761"/>
      <c r="G927" s="1793"/>
      <c r="H927" s="1792" t="s">
        <v>762</v>
      </c>
      <c r="I927" s="1773" t="s">
        <v>194</v>
      </c>
      <c r="J927" s="1754" t="s">
        <v>758</v>
      </c>
      <c r="K927" s="1789"/>
      <c r="L927" s="1791"/>
      <c r="M927" s="1772" t="s">
        <v>194</v>
      </c>
      <c r="N927" s="1754" t="s">
        <v>761</v>
      </c>
      <c r="O927" s="1920"/>
      <c r="P927" s="1754"/>
      <c r="Q927" s="1768"/>
      <c r="R927" s="1768"/>
      <c r="S927" s="1768"/>
      <c r="T927" s="1768"/>
      <c r="U927" s="1768"/>
      <c r="V927" s="1768"/>
      <c r="W927" s="1768"/>
      <c r="X927" s="1767"/>
      <c r="Y927" s="1913"/>
      <c r="Z927" s="1913"/>
      <c r="AA927" s="1913"/>
      <c r="AB927" s="1794"/>
      <c r="AC927" s="1912"/>
      <c r="AD927" s="1911"/>
      <c r="AE927" s="1911"/>
      <c r="AF927" s="1910"/>
      <c r="AI927" s="1735" t="str">
        <f>"55:field232:" &amp; IF(I927="■",1,IF(M927="■",2,0))</f>
        <v>55:field232:0</v>
      </c>
    </row>
    <row r="928" spans="1:36" s="1735" customFormat="1" ht="18.75" hidden="1" customHeight="1">
      <c r="A928" s="1766"/>
      <c r="B928" s="1765"/>
      <c r="C928" s="1916"/>
      <c r="D928" s="1915"/>
      <c r="E928" s="1762"/>
      <c r="F928" s="1761"/>
      <c r="G928" s="1762"/>
      <c r="H928" s="1788" t="s">
        <v>763</v>
      </c>
      <c r="I928" s="1868" t="s">
        <v>194</v>
      </c>
      <c r="J928" s="1830" t="s">
        <v>750</v>
      </c>
      <c r="K928" s="1830"/>
      <c r="L928" s="1919" t="s">
        <v>194</v>
      </c>
      <c r="M928" s="1830" t="s">
        <v>764</v>
      </c>
      <c r="N928" s="1830"/>
      <c r="O928" s="1785"/>
      <c r="P928" s="1785"/>
      <c r="Q928" s="1785"/>
      <c r="R928" s="1785"/>
      <c r="S928" s="1785"/>
      <c r="T928" s="1785"/>
      <c r="U928" s="1785"/>
      <c r="V928" s="1785"/>
      <c r="W928" s="1785"/>
      <c r="X928" s="1784"/>
      <c r="Y928" s="1914"/>
      <c r="Z928" s="1913"/>
      <c r="AA928" s="1913"/>
      <c r="AB928" s="1794"/>
      <c r="AC928" s="1912"/>
      <c r="AD928" s="1911"/>
      <c r="AE928" s="1911"/>
      <c r="AF928" s="1910"/>
      <c r="AI928" s="1735" t="str">
        <f>"55:field206:" &amp; IF(I928="■",1,IF(L928="■",2,0))</f>
        <v>55:field206:0</v>
      </c>
    </row>
    <row r="929" spans="1:36" s="1735" customFormat="1" ht="18.75" hidden="1" customHeight="1">
      <c r="A929" s="1766"/>
      <c r="B929" s="1765"/>
      <c r="C929" s="1916"/>
      <c r="D929" s="1915"/>
      <c r="E929" s="1762"/>
      <c r="F929" s="1761"/>
      <c r="G929" s="1762"/>
      <c r="H929" s="1783"/>
      <c r="I929" s="1819"/>
      <c r="J929" s="1781"/>
      <c r="K929" s="1781"/>
      <c r="L929" s="1818"/>
      <c r="M929" s="1781"/>
      <c r="N929" s="1781"/>
      <c r="O929" s="1780"/>
      <c r="P929" s="1780"/>
      <c r="Q929" s="1780"/>
      <c r="R929" s="1780"/>
      <c r="S929" s="1780"/>
      <c r="T929" s="1780"/>
      <c r="U929" s="1780"/>
      <c r="V929" s="1780"/>
      <c r="W929" s="1780"/>
      <c r="X929" s="1779"/>
      <c r="Y929" s="1914"/>
      <c r="Z929" s="1913"/>
      <c r="AA929" s="1913"/>
      <c r="AB929" s="1794"/>
      <c r="AC929" s="1912"/>
      <c r="AD929" s="1911"/>
      <c r="AE929" s="1911"/>
      <c r="AF929" s="1910"/>
    </row>
    <row r="930" spans="1:36" s="1735" customFormat="1" ht="18.75" hidden="1" customHeight="1">
      <c r="A930" s="1776" t="s">
        <v>194</v>
      </c>
      <c r="B930" s="1765">
        <v>55</v>
      </c>
      <c r="C930" s="1916" t="s">
        <v>1587</v>
      </c>
      <c r="D930" s="1776" t="s">
        <v>194</v>
      </c>
      <c r="E930" s="1762" t="s">
        <v>1598</v>
      </c>
      <c r="F930" s="1776" t="s">
        <v>194</v>
      </c>
      <c r="G930" s="1762" t="s">
        <v>1559</v>
      </c>
      <c r="H930" s="1769" t="s">
        <v>1560</v>
      </c>
      <c r="I930" s="1773" t="s">
        <v>194</v>
      </c>
      <c r="J930" s="1754" t="s">
        <v>1557</v>
      </c>
      <c r="K930" s="1789"/>
      <c r="L930" s="1791"/>
      <c r="M930" s="1772" t="s">
        <v>194</v>
      </c>
      <c r="N930" s="1754" t="s">
        <v>1556</v>
      </c>
      <c r="O930" s="1768"/>
      <c r="P930" s="1789"/>
      <c r="Q930" s="1789"/>
      <c r="R930" s="1789"/>
      <c r="S930" s="1789"/>
      <c r="T930" s="1789"/>
      <c r="U930" s="1789"/>
      <c r="V930" s="1789"/>
      <c r="W930" s="1789"/>
      <c r="X930" s="1918"/>
      <c r="Y930" s="1914"/>
      <c r="Z930" s="1913"/>
      <c r="AA930" s="1913"/>
      <c r="AB930" s="1794"/>
      <c r="AC930" s="1912"/>
      <c r="AD930" s="1911"/>
      <c r="AE930" s="1911"/>
      <c r="AF930" s="1910"/>
      <c r="AI930" s="1735" t="str">
        <f>"55:field190:" &amp; IF(I930="■",1,IF(M930="■",2,0))</f>
        <v>55:field190:0</v>
      </c>
    </row>
    <row r="931" spans="1:36" s="1735" customFormat="1" ht="18.75" hidden="1" customHeight="1">
      <c r="A931" s="1766"/>
      <c r="B931" s="1765"/>
      <c r="C931" s="1916"/>
      <c r="D931" s="1915"/>
      <c r="E931" s="1762"/>
      <c r="F931" s="832"/>
      <c r="G931" s="385"/>
      <c r="H931" s="1769" t="s">
        <v>1558</v>
      </c>
      <c r="I931" s="1773" t="s">
        <v>194</v>
      </c>
      <c r="J931" s="1754" t="s">
        <v>1557</v>
      </c>
      <c r="K931" s="1789"/>
      <c r="L931" s="1791"/>
      <c r="M931" s="1772" t="s">
        <v>194</v>
      </c>
      <c r="N931" s="1754" t="s">
        <v>1556</v>
      </c>
      <c r="O931" s="1768"/>
      <c r="P931" s="1789"/>
      <c r="Q931" s="1789"/>
      <c r="R931" s="1789"/>
      <c r="S931" s="1789"/>
      <c r="T931" s="1789"/>
      <c r="U931" s="1789"/>
      <c r="V931" s="1789"/>
      <c r="W931" s="1789"/>
      <c r="X931" s="1918"/>
      <c r="Y931" s="1914"/>
      <c r="Z931" s="1913"/>
      <c r="AA931" s="1913"/>
      <c r="AB931" s="1794"/>
      <c r="AC931" s="1912"/>
      <c r="AD931" s="1911"/>
      <c r="AE931" s="1911"/>
      <c r="AF931" s="1910"/>
      <c r="AI931" s="1735" t="str">
        <f>"55:field191:" &amp; IF(I931="■",1,IF(M931="■",2,0))</f>
        <v>55:field191:0</v>
      </c>
    </row>
    <row r="932" spans="1:36" s="835" customFormat="1" ht="19.5" hidden="1" customHeight="1">
      <c r="A932" s="338"/>
      <c r="B932" s="833"/>
      <c r="C932" s="341"/>
      <c r="D932" s="834"/>
      <c r="E932" s="836"/>
      <c r="F932" s="832"/>
      <c r="G932" s="385"/>
      <c r="H932" s="1945" t="s">
        <v>1597</v>
      </c>
      <c r="I932" s="1773" t="s">
        <v>1596</v>
      </c>
      <c r="J932" s="1941" t="s">
        <v>1595</v>
      </c>
      <c r="K932" s="1944"/>
      <c r="L932" s="1943"/>
      <c r="M932" s="1772" t="s">
        <v>194</v>
      </c>
      <c r="N932" s="1941" t="s">
        <v>1594</v>
      </c>
      <c r="O932" s="1942"/>
      <c r="P932" s="1941"/>
      <c r="Q932" s="1940"/>
      <c r="R932" s="1940"/>
      <c r="S932" s="1940"/>
      <c r="T932" s="1940"/>
      <c r="U932" s="1940"/>
      <c r="V932" s="1940"/>
      <c r="W932" s="1940"/>
      <c r="X932" s="1939"/>
      <c r="Y932" s="557"/>
      <c r="Z932" s="2"/>
      <c r="AA932" s="837"/>
      <c r="AB932" s="339"/>
      <c r="AC932" s="1912"/>
      <c r="AD932" s="1911"/>
      <c r="AE932" s="1911"/>
      <c r="AF932" s="1910"/>
      <c r="AI932" s="1735" t="str">
        <f>"55:field242:" &amp; IF(I932="■",1,IF(M932="■",2,0))</f>
        <v>55:field242:1</v>
      </c>
    </row>
    <row r="933" spans="1:36" s="1735" customFormat="1" ht="18.75" hidden="1" customHeight="1">
      <c r="A933" s="1766"/>
      <c r="B933" s="1765"/>
      <c r="C933" s="1916"/>
      <c r="D933" s="1915"/>
      <c r="E933" s="1762"/>
      <c r="F933" s="1915"/>
      <c r="G933" s="1762"/>
      <c r="H933" s="1769" t="s">
        <v>1555</v>
      </c>
      <c r="I933" s="1758" t="s">
        <v>194</v>
      </c>
      <c r="J933" s="1756" t="s">
        <v>750</v>
      </c>
      <c r="K933" s="1755"/>
      <c r="L933" s="1757" t="s">
        <v>194</v>
      </c>
      <c r="M933" s="1756" t="s">
        <v>764</v>
      </c>
      <c r="N933" s="1771"/>
      <c r="O933" s="1789"/>
      <c r="P933" s="1789"/>
      <c r="Q933" s="1789"/>
      <c r="R933" s="1789"/>
      <c r="S933" s="1789"/>
      <c r="T933" s="1789"/>
      <c r="U933" s="1789"/>
      <c r="V933" s="1789"/>
      <c r="W933" s="1789"/>
      <c r="X933" s="1918"/>
      <c r="Y933" s="1914"/>
      <c r="Z933" s="1913"/>
      <c r="AA933" s="1913"/>
      <c r="AB933" s="1794"/>
      <c r="AC933" s="1912"/>
      <c r="AD933" s="1911"/>
      <c r="AE933" s="1911"/>
      <c r="AF933" s="1910"/>
      <c r="AI933" s="1735" t="str">
        <f>"55:jyakuninti_uke_code:" &amp; IF(I933="■",1,IF(L933="■",2,0))</f>
        <v>55:jyakuninti_uke_code:0</v>
      </c>
    </row>
    <row r="934" spans="1:36" s="1735" customFormat="1" ht="18.75" hidden="1" customHeight="1">
      <c r="A934" s="1766"/>
      <c r="B934" s="1765"/>
      <c r="C934" s="1916"/>
      <c r="D934" s="1915"/>
      <c r="E934" s="1762"/>
      <c r="F934" s="1915"/>
      <c r="G934" s="1762"/>
      <c r="H934" s="1769" t="s">
        <v>786</v>
      </c>
      <c r="I934" s="1758" t="s">
        <v>194</v>
      </c>
      <c r="J934" s="1756" t="s">
        <v>750</v>
      </c>
      <c r="K934" s="1755"/>
      <c r="L934" s="1757" t="s">
        <v>194</v>
      </c>
      <c r="M934" s="1756" t="s">
        <v>764</v>
      </c>
      <c r="N934" s="1771"/>
      <c r="O934" s="1789"/>
      <c r="P934" s="1789"/>
      <c r="Q934" s="1789"/>
      <c r="R934" s="1789"/>
      <c r="S934" s="1789"/>
      <c r="T934" s="1789"/>
      <c r="U934" s="1789"/>
      <c r="V934" s="1789"/>
      <c r="W934" s="1789"/>
      <c r="X934" s="1918"/>
      <c r="Y934" s="1914"/>
      <c r="Z934" s="1913"/>
      <c r="AA934" s="1913"/>
      <c r="AB934" s="1794"/>
      <c r="AC934" s="1912"/>
      <c r="AD934" s="1911"/>
      <c r="AE934" s="1911"/>
      <c r="AF934" s="1910"/>
      <c r="AI934" s="1735" t="str">
        <f>"55:field207:" &amp; IF(I934="■",1,IF(L934="■",2,0))</f>
        <v>55:field207:0</v>
      </c>
    </row>
    <row r="935" spans="1:36" s="1735" customFormat="1" ht="18.75" hidden="1" customHeight="1">
      <c r="A935" s="1766"/>
      <c r="B935" s="1765"/>
      <c r="C935" s="1916"/>
      <c r="D935" s="1915"/>
      <c r="E935" s="1762"/>
      <c r="F935" s="1761"/>
      <c r="G935" s="1762"/>
      <c r="H935" s="1769" t="s">
        <v>787</v>
      </c>
      <c r="I935" s="1758" t="s">
        <v>195</v>
      </c>
      <c r="J935" s="1756" t="s">
        <v>750</v>
      </c>
      <c r="K935" s="1755"/>
      <c r="L935" s="1757" t="s">
        <v>194</v>
      </c>
      <c r="M935" s="1756" t="s">
        <v>764</v>
      </c>
      <c r="N935" s="1771"/>
      <c r="O935" s="1789"/>
      <c r="P935" s="1789"/>
      <c r="Q935" s="1789"/>
      <c r="R935" s="1789"/>
      <c r="S935" s="1789"/>
      <c r="T935" s="1789"/>
      <c r="U935" s="1789"/>
      <c r="V935" s="1789"/>
      <c r="W935" s="1789"/>
      <c r="X935" s="1918"/>
      <c r="Y935" s="1914"/>
      <c r="Z935" s="1913"/>
      <c r="AA935" s="1913"/>
      <c r="AB935" s="1794"/>
      <c r="AC935" s="1912"/>
      <c r="AD935" s="1911"/>
      <c r="AE935" s="1911"/>
      <c r="AF935" s="1910"/>
      <c r="AI935" s="1735" t="str">
        <f>"55:ryouyoushoku_code:" &amp; IF(I935="■",1,IF(L935="■",2,0))</f>
        <v>55:ryouyoushoku_code:0</v>
      </c>
    </row>
    <row r="936" spans="1:36" s="1735" customFormat="1" ht="18.75" hidden="1" customHeight="1">
      <c r="A936" s="1766"/>
      <c r="B936" s="1765"/>
      <c r="C936" s="1916"/>
      <c r="D936" s="1915"/>
      <c r="E936" s="1762"/>
      <c r="F936" s="1761"/>
      <c r="G936" s="1762"/>
      <c r="H936" s="1769" t="s">
        <v>791</v>
      </c>
      <c r="I936" s="1773" t="s">
        <v>194</v>
      </c>
      <c r="J936" s="1754" t="s">
        <v>750</v>
      </c>
      <c r="K936" s="1754"/>
      <c r="L936" s="1772" t="s">
        <v>194</v>
      </c>
      <c r="M936" s="1754" t="s">
        <v>784</v>
      </c>
      <c r="N936" s="1754"/>
      <c r="O936" s="1772" t="s">
        <v>194</v>
      </c>
      <c r="P936" s="1754" t="s">
        <v>785</v>
      </c>
      <c r="Q936" s="1768"/>
      <c r="R936" s="1789"/>
      <c r="S936" s="1789"/>
      <c r="T936" s="1789"/>
      <c r="U936" s="1789"/>
      <c r="V936" s="1789"/>
      <c r="W936" s="1789"/>
      <c r="X936" s="1918"/>
      <c r="Y936" s="1914"/>
      <c r="Z936" s="1913"/>
      <c r="AA936" s="1913"/>
      <c r="AB936" s="1794"/>
      <c r="AC936" s="1912"/>
      <c r="AD936" s="1911"/>
      <c r="AE936" s="1911"/>
      <c r="AF936" s="1910"/>
      <c r="AI936" s="1735" t="str">
        <f>"55:ninti_senmoncare_code:" &amp; IF(I936="■",1,IF(O936="■",3,IF(L936="■",2,0)))</f>
        <v>55:ninti_senmoncare_code:0</v>
      </c>
    </row>
    <row r="937" spans="1:36" s="1735" customFormat="1" ht="18.75" hidden="1" customHeight="1">
      <c r="A937" s="1766"/>
      <c r="B937" s="1765"/>
      <c r="C937" s="1916"/>
      <c r="D937" s="1915"/>
      <c r="E937" s="1762"/>
      <c r="F937" s="1761"/>
      <c r="G937" s="1762"/>
      <c r="H937" s="1769" t="s">
        <v>792</v>
      </c>
      <c r="I937" s="1773" t="s">
        <v>194</v>
      </c>
      <c r="J937" s="1754" t="s">
        <v>750</v>
      </c>
      <c r="K937" s="1754"/>
      <c r="L937" s="1772" t="s">
        <v>194</v>
      </c>
      <c r="M937" s="1754" t="s">
        <v>784</v>
      </c>
      <c r="N937" s="1754"/>
      <c r="O937" s="1772" t="s">
        <v>194</v>
      </c>
      <c r="P937" s="1754" t="s">
        <v>785</v>
      </c>
      <c r="Q937" s="1789"/>
      <c r="R937" s="1789"/>
      <c r="S937" s="1789"/>
      <c r="T937" s="1789"/>
      <c r="U937" s="1789"/>
      <c r="V937" s="1789"/>
      <c r="W937" s="1789"/>
      <c r="X937" s="1918"/>
      <c r="Y937" s="1914"/>
      <c r="Z937" s="1913"/>
      <c r="AA937" s="1913"/>
      <c r="AB937" s="1794"/>
      <c r="AC937" s="1912"/>
      <c r="AD937" s="1911"/>
      <c r="AE937" s="1911"/>
      <c r="AF937" s="1910"/>
      <c r="AI937" s="1735" t="str">
        <f>"55:field228:" &amp; IF(I937="■",1,IF(L937="■",2,IF(O937="■",3,0)))</f>
        <v>55:field228:0</v>
      </c>
    </row>
    <row r="938" spans="1:36" s="1735" customFormat="1" ht="18.75" hidden="1" customHeight="1">
      <c r="A938" s="1766"/>
      <c r="B938" s="1765"/>
      <c r="C938" s="1916"/>
      <c r="D938" s="1915"/>
      <c r="E938" s="1762"/>
      <c r="F938" s="1761"/>
      <c r="G938" s="1762"/>
      <c r="H938" s="1769" t="s">
        <v>1554</v>
      </c>
      <c r="I938" s="1773" t="s">
        <v>194</v>
      </c>
      <c r="J938" s="1754" t="s">
        <v>750</v>
      </c>
      <c r="K938" s="1754"/>
      <c r="L938" s="1772" t="s">
        <v>194</v>
      </c>
      <c r="M938" s="1754" t="s">
        <v>784</v>
      </c>
      <c r="N938" s="1754"/>
      <c r="O938" s="1772" t="s">
        <v>194</v>
      </c>
      <c r="P938" s="1754" t="s">
        <v>785</v>
      </c>
      <c r="Q938" s="1768"/>
      <c r="R938" s="1754"/>
      <c r="S938" s="1754"/>
      <c r="T938" s="1754"/>
      <c r="U938" s="1754"/>
      <c r="V938" s="1754"/>
      <c r="W938" s="1754"/>
      <c r="X938" s="1753"/>
      <c r="Y938" s="1914"/>
      <c r="Z938" s="1913"/>
      <c r="AA938" s="1913"/>
      <c r="AB938" s="1794"/>
      <c r="AC938" s="1912"/>
      <c r="AD938" s="1911"/>
      <c r="AE938" s="1911"/>
      <c r="AF938" s="1910"/>
      <c r="AI938" s="1735" t="str">
        <f>"55:field164:" &amp; IF(I938="■",1,IF(L938="■",2,IF(O938="■",3,0)))</f>
        <v>55:field164:0</v>
      </c>
    </row>
    <row r="939" spans="1:36" s="1735" customFormat="1" ht="18.75" hidden="1" customHeight="1">
      <c r="A939" s="1766"/>
      <c r="B939" s="1765"/>
      <c r="C939" s="1916"/>
      <c r="D939" s="1915"/>
      <c r="E939" s="1762"/>
      <c r="F939" s="1761"/>
      <c r="G939" s="1762"/>
      <c r="H939" s="1769" t="s">
        <v>1124</v>
      </c>
      <c r="I939" s="1773" t="s">
        <v>194</v>
      </c>
      <c r="J939" s="1754" t="s">
        <v>750</v>
      </c>
      <c r="K939" s="1754"/>
      <c r="L939" s="1772" t="s">
        <v>194</v>
      </c>
      <c r="M939" s="1756" t="s">
        <v>764</v>
      </c>
      <c r="N939" s="1754"/>
      <c r="O939" s="1754"/>
      <c r="P939" s="1754"/>
      <c r="Q939" s="1789"/>
      <c r="R939" s="1789"/>
      <c r="S939" s="1789"/>
      <c r="T939" s="1789"/>
      <c r="U939" s="1789"/>
      <c r="V939" s="1789"/>
      <c r="W939" s="1789"/>
      <c r="X939" s="1918"/>
      <c r="Y939" s="1914"/>
      <c r="Z939" s="1913"/>
      <c r="AA939" s="1913"/>
      <c r="AB939" s="1794"/>
      <c r="AC939" s="1912"/>
      <c r="AD939" s="1911"/>
      <c r="AE939" s="1911"/>
      <c r="AF939" s="1910"/>
      <c r="AI939" s="1735" t="str">
        <f>"55:field226:" &amp; IF(I939="■",1,IF(L939="■",2,0))</f>
        <v>55:field226:0</v>
      </c>
    </row>
    <row r="940" spans="1:36" s="1735" customFormat="1" ht="18.75" hidden="1" customHeight="1">
      <c r="A940" s="1766"/>
      <c r="B940" s="1765"/>
      <c r="C940" s="1916"/>
      <c r="D940" s="1915"/>
      <c r="E940" s="1762"/>
      <c r="F940" s="1761"/>
      <c r="G940" s="1762"/>
      <c r="H940" s="1769" t="s">
        <v>1125</v>
      </c>
      <c r="I940" s="1773" t="s">
        <v>194</v>
      </c>
      <c r="J940" s="1754" t="s">
        <v>750</v>
      </c>
      <c r="K940" s="1754"/>
      <c r="L940" s="1772" t="s">
        <v>194</v>
      </c>
      <c r="M940" s="1756" t="s">
        <v>764</v>
      </c>
      <c r="N940" s="1754"/>
      <c r="O940" s="1754"/>
      <c r="P940" s="1754"/>
      <c r="Q940" s="1789"/>
      <c r="R940" s="1789"/>
      <c r="S940" s="1789"/>
      <c r="T940" s="1789"/>
      <c r="U940" s="1789"/>
      <c r="V940" s="1789"/>
      <c r="W940" s="1789"/>
      <c r="X940" s="1918"/>
      <c r="Y940" s="1914"/>
      <c r="Z940" s="1913"/>
      <c r="AA940" s="1913"/>
      <c r="AB940" s="1794"/>
      <c r="AC940" s="1912"/>
      <c r="AD940" s="1911"/>
      <c r="AE940" s="1911"/>
      <c r="AF940" s="1910"/>
      <c r="AI940" s="1735" t="str">
        <f>"55:field227:" &amp; IF(I940="■",1,IF(L940="■",2,0))</f>
        <v>55:field227:0</v>
      </c>
    </row>
    <row r="941" spans="1:36" s="1735" customFormat="1" ht="18.75" hidden="1" customHeight="1">
      <c r="A941" s="1766"/>
      <c r="B941" s="1765"/>
      <c r="C941" s="1916"/>
      <c r="D941" s="1915"/>
      <c r="E941" s="1762"/>
      <c r="F941" s="1761"/>
      <c r="G941" s="1762"/>
      <c r="H941" s="1917" t="s">
        <v>794</v>
      </c>
      <c r="I941" s="1773" t="s">
        <v>194</v>
      </c>
      <c r="J941" s="1754" t="s">
        <v>750</v>
      </c>
      <c r="K941" s="1754"/>
      <c r="L941" s="1772" t="s">
        <v>194</v>
      </c>
      <c r="M941" s="1754" t="s">
        <v>784</v>
      </c>
      <c r="N941" s="1754"/>
      <c r="O941" s="1772" t="s">
        <v>194</v>
      </c>
      <c r="P941" s="1754" t="s">
        <v>785</v>
      </c>
      <c r="Q941" s="1768"/>
      <c r="R941" s="1768"/>
      <c r="S941" s="1768"/>
      <c r="T941" s="1768"/>
      <c r="U941" s="1829"/>
      <c r="V941" s="1829"/>
      <c r="W941" s="1829"/>
      <c r="X941" s="1828"/>
      <c r="Y941" s="1914"/>
      <c r="Z941" s="1913"/>
      <c r="AA941" s="1913"/>
      <c r="AB941" s="1794"/>
      <c r="AC941" s="1912"/>
      <c r="AD941" s="1911"/>
      <c r="AE941" s="1911"/>
      <c r="AF941" s="1910"/>
      <c r="AI941" s="1735" t="str">
        <f>"55:field225:" &amp; IF(I941="■",1,IF(L941="■",2,IF(O941="■",3,0)))</f>
        <v>55:field225:0</v>
      </c>
    </row>
    <row r="942" spans="1:36" s="1735" customFormat="1" ht="18.75" hidden="1" customHeight="1">
      <c r="A942" s="1766"/>
      <c r="B942" s="1765"/>
      <c r="C942" s="1916"/>
      <c r="D942" s="1915"/>
      <c r="E942" s="1762"/>
      <c r="F942" s="1761"/>
      <c r="G942" s="1762"/>
      <c r="H942" s="1769" t="s">
        <v>795</v>
      </c>
      <c r="I942" s="1773" t="s">
        <v>194</v>
      </c>
      <c r="J942" s="1754" t="s">
        <v>750</v>
      </c>
      <c r="K942" s="1754"/>
      <c r="L942" s="1772" t="s">
        <v>194</v>
      </c>
      <c r="M942" s="1754" t="s">
        <v>796</v>
      </c>
      <c r="N942" s="1754"/>
      <c r="O942" s="1772" t="s">
        <v>194</v>
      </c>
      <c r="P942" s="1754" t="s">
        <v>797</v>
      </c>
      <c r="Q942" s="1771"/>
      <c r="R942" s="1772" t="s">
        <v>194</v>
      </c>
      <c r="S942" s="1754" t="s">
        <v>798</v>
      </c>
      <c r="T942" s="1754"/>
      <c r="U942" s="1754"/>
      <c r="V942" s="1754"/>
      <c r="W942" s="1754"/>
      <c r="X942" s="1753"/>
      <c r="Y942" s="1914"/>
      <c r="Z942" s="1913"/>
      <c r="AA942" s="1913"/>
      <c r="AB942" s="1794"/>
      <c r="AC942" s="1912"/>
      <c r="AD942" s="1911"/>
      <c r="AE942" s="1911"/>
      <c r="AF942" s="1910"/>
      <c r="AI942" s="1735" t="str">
        <f>"55:serteikyo_kyoka_code:" &amp; IF(I942="■",1,IF(L942="■",6,IF(O942="■",5,IF(R942="■",7,0))))</f>
        <v>55:serteikyo_kyoka_code:0</v>
      </c>
    </row>
    <row r="943" spans="1:36" s="1735" customFormat="1" ht="18.75" hidden="1" customHeight="1">
      <c r="A943" s="1752"/>
      <c r="B943" s="1751"/>
      <c r="C943" s="1750"/>
      <c r="D943" s="1749"/>
      <c r="E943" s="1748"/>
      <c r="F943" s="1747"/>
      <c r="G943" s="1808"/>
      <c r="H943" s="1909" t="s">
        <v>1553</v>
      </c>
      <c r="I943" s="1744" t="s">
        <v>194</v>
      </c>
      <c r="J943" s="1905" t="s">
        <v>750</v>
      </c>
      <c r="K943" s="1905"/>
      <c r="L943" s="1743" t="s">
        <v>194</v>
      </c>
      <c r="M943" s="1905" t="s">
        <v>1552</v>
      </c>
      <c r="N943" s="1908"/>
      <c r="O943" s="1743" t="s">
        <v>194</v>
      </c>
      <c r="P943" s="1907" t="s">
        <v>1551</v>
      </c>
      <c r="Q943" s="1906"/>
      <c r="R943" s="1743" t="s">
        <v>194</v>
      </c>
      <c r="S943" s="1905" t="s">
        <v>1550</v>
      </c>
      <c r="T943" s="1906"/>
      <c r="U943" s="1743" t="s">
        <v>194</v>
      </c>
      <c r="V943" s="1905" t="s">
        <v>1549</v>
      </c>
      <c r="W943" s="1904"/>
      <c r="X943" s="1903"/>
      <c r="Y943" s="1902"/>
      <c r="Z943" s="1902"/>
      <c r="AA943" s="1902"/>
      <c r="AB943" s="1901"/>
      <c r="AC943" s="1900"/>
      <c r="AD943" s="1899"/>
      <c r="AE943" s="1899"/>
      <c r="AF943" s="1898"/>
      <c r="AI943" s="1735" t="str">
        <f>"55:shoguukaizen_code:"&amp;IF(I943="■",1,IF(L943="■",7,IF(O943="■",8,IF(R943="■",9,IF(U943="■","A",0)))))</f>
        <v>55:shoguukaizen_code:0</v>
      </c>
    </row>
    <row r="944" spans="1:36" s="1735" customFormat="1" ht="18.75" hidden="1" customHeight="1">
      <c r="A944" s="1807"/>
      <c r="B944" s="1806"/>
      <c r="C944" s="1934"/>
      <c r="D944" s="1933"/>
      <c r="E944" s="1804"/>
      <c r="F944" s="1803"/>
      <c r="G944" s="1804"/>
      <c r="H944" s="1885" t="s">
        <v>746</v>
      </c>
      <c r="I944" s="1873" t="s">
        <v>194</v>
      </c>
      <c r="J944" s="1872" t="s">
        <v>747</v>
      </c>
      <c r="K944" s="1932"/>
      <c r="L944" s="1930"/>
      <c r="M944" s="1931" t="s">
        <v>194</v>
      </c>
      <c r="N944" s="1872" t="s">
        <v>1572</v>
      </c>
      <c r="O944" s="1930"/>
      <c r="P944" s="1930"/>
      <c r="Q944" s="1931" t="s">
        <v>194</v>
      </c>
      <c r="R944" s="1872" t="s">
        <v>1571</v>
      </c>
      <c r="S944" s="1930"/>
      <c r="T944" s="1930"/>
      <c r="U944" s="1931" t="s">
        <v>194</v>
      </c>
      <c r="V944" s="1872" t="s">
        <v>1570</v>
      </c>
      <c r="W944" s="1930"/>
      <c r="X944" s="1886"/>
      <c r="Y944" s="1873" t="s">
        <v>194</v>
      </c>
      <c r="Z944" s="1872" t="s">
        <v>749</v>
      </c>
      <c r="AA944" s="1872"/>
      <c r="AB944" s="1929"/>
      <c r="AC944" s="1928"/>
      <c r="AD944" s="1927"/>
      <c r="AE944" s="1927"/>
      <c r="AF944" s="1926"/>
      <c r="AG944" s="1735" t="str">
        <f>"ser_code = '" &amp; IF(A960="■",55,"") &amp; "'"</f>
        <v>ser_code = ''</v>
      </c>
      <c r="AH944" s="1735" t="str">
        <f>"55:jininkbn_code:"&amp;IF(F960="■",1,IF(F961="■",2,0))</f>
        <v>55:jininkbn_code:0</v>
      </c>
      <c r="AI944" s="1735" t="str">
        <f>"55:yakan_kinmu_code:" &amp; IF(I944="■",1,IF(M944="■",2,IF(Q944="■",3,IF(U944="■",7,IF(I945="■",5,IF(M945="■",6,0))))))</f>
        <v>55:yakan_kinmu_code:0</v>
      </c>
      <c r="AJ944" s="1735" t="str">
        <f>"55:field203:" &amp; IF(Y944="■",1,IF(Y945="■",2,0))</f>
        <v>55:field203:0</v>
      </c>
    </row>
    <row r="945" spans="1:35" s="1735" customFormat="1" ht="18.75" hidden="1" customHeight="1">
      <c r="A945" s="1766"/>
      <c r="B945" s="1765"/>
      <c r="C945" s="1916"/>
      <c r="D945" s="1915"/>
      <c r="E945" s="1762"/>
      <c r="F945" s="1761"/>
      <c r="G945" s="1762"/>
      <c r="H945" s="1921"/>
      <c r="I945" s="1758" t="s">
        <v>194</v>
      </c>
      <c r="J945" s="1756" t="s">
        <v>1569</v>
      </c>
      <c r="K945" s="1755"/>
      <c r="L945" s="1780"/>
      <c r="M945" s="1757" t="s">
        <v>194</v>
      </c>
      <c r="N945" s="1756" t="s">
        <v>748</v>
      </c>
      <c r="O945" s="1780"/>
      <c r="P945" s="1780"/>
      <c r="Q945" s="1780"/>
      <c r="R945" s="1780"/>
      <c r="S945" s="1780"/>
      <c r="T945" s="1780"/>
      <c r="U945" s="1780"/>
      <c r="V945" s="1780"/>
      <c r="W945" s="1780"/>
      <c r="X945" s="1779"/>
      <c r="Y945" s="1776" t="s">
        <v>194</v>
      </c>
      <c r="Z945" s="1738" t="s">
        <v>754</v>
      </c>
      <c r="AA945" s="1913"/>
      <c r="AB945" s="1794"/>
      <c r="AC945" s="1912"/>
      <c r="AD945" s="1911"/>
      <c r="AE945" s="1911"/>
      <c r="AF945" s="1910"/>
      <c r="AG945" s="1735" t="str">
        <f>"55:sisetukbn_code:" &amp; IF(D960="■",4,0)</f>
        <v>55:sisetukbn_code:0</v>
      </c>
    </row>
    <row r="946" spans="1:35" s="1735" customFormat="1" ht="18.75" hidden="1" customHeight="1">
      <c r="A946" s="1766"/>
      <c r="B946" s="1765"/>
      <c r="C946" s="1916"/>
      <c r="D946" s="1915"/>
      <c r="E946" s="1762"/>
      <c r="F946" s="1761"/>
      <c r="G946" s="1762"/>
      <c r="H946" s="1925" t="s">
        <v>98</v>
      </c>
      <c r="I946" s="1924" t="s">
        <v>194</v>
      </c>
      <c r="J946" s="1923" t="s">
        <v>750</v>
      </c>
      <c r="K946" s="1923"/>
      <c r="L946" s="1785"/>
      <c r="M946" s="1922" t="s">
        <v>194</v>
      </c>
      <c r="N946" s="1923" t="s">
        <v>1568</v>
      </c>
      <c r="O946" s="1923"/>
      <c r="P946" s="1785"/>
      <c r="Q946" s="1931" t="s">
        <v>194</v>
      </c>
      <c r="R946" s="1785" t="s">
        <v>1567</v>
      </c>
      <c r="S946" s="1785"/>
      <c r="T946" s="1785"/>
      <c r="U946" s="1931" t="s">
        <v>194</v>
      </c>
      <c r="V946" s="1785" t="s">
        <v>1566</v>
      </c>
      <c r="W946" s="1829"/>
      <c r="X946" s="1828"/>
      <c r="Y946" s="1914"/>
      <c r="Z946" s="1913"/>
      <c r="AA946" s="1913"/>
      <c r="AB946" s="1794"/>
      <c r="AC946" s="1912"/>
      <c r="AD946" s="1911"/>
      <c r="AE946" s="1911"/>
      <c r="AF946" s="1910"/>
      <c r="AI946" s="1735" t="str">
        <f>"55:"&amp;IF(AND(I946="□",M946="□",Q946="□",U946="□",I947="□",M947="□"),"ketu_doctor_code:0",IF(I946="■","ketu_doctor_code:1:field197:1:ketu_kangos_code:1:ketu_kshoku_code:1:ketu_ksiensou_code:1",IF(M946="■","ketu_doctor_code:2","ketu_doctor_code:1")
&amp;IF(Q946="■",":field197:2",":field197:1")
&amp;IF(U946="■",":ketu_kangos_code:2",":ketu_kangos_code:1")
&amp;IF(I947="■",":ketu_kshoku_code:2",":ketu_kshoku_code:1")
&amp;IF(M947="■",":ketu_ksiensou_code:2",":ketu_ksiensou_code:1")))</f>
        <v>55:ketu_doctor_code:0</v>
      </c>
    </row>
    <row r="947" spans="1:35" s="1735" customFormat="1" ht="18.75" hidden="1" customHeight="1">
      <c r="A947" s="1766"/>
      <c r="B947" s="1765"/>
      <c r="C947" s="1916"/>
      <c r="D947" s="1915"/>
      <c r="E947" s="1762"/>
      <c r="F947" s="1761"/>
      <c r="G947" s="1762"/>
      <c r="H947" s="1921"/>
      <c r="I947" s="1758" t="s">
        <v>194</v>
      </c>
      <c r="J947" s="1780" t="s">
        <v>1565</v>
      </c>
      <c r="K947" s="1756"/>
      <c r="L947" s="1780"/>
      <c r="M947" s="1757" t="s">
        <v>194</v>
      </c>
      <c r="N947" s="1756" t="s">
        <v>1564</v>
      </c>
      <c r="O947" s="1756"/>
      <c r="P947" s="1780"/>
      <c r="Q947" s="1780"/>
      <c r="R947" s="1780"/>
      <c r="S947" s="1780"/>
      <c r="T947" s="1780"/>
      <c r="U947" s="1780"/>
      <c r="V947" s="1780"/>
      <c r="W947" s="1827"/>
      <c r="X947" s="1826"/>
      <c r="Y947" s="1914"/>
      <c r="Z947" s="1913"/>
      <c r="AA947" s="1913"/>
      <c r="AB947" s="1794"/>
      <c r="AC947" s="1912"/>
      <c r="AD947" s="1911"/>
      <c r="AE947" s="1911"/>
      <c r="AF947" s="1910"/>
    </row>
    <row r="948" spans="1:35" s="1735" customFormat="1" ht="18.75" hidden="1" customHeight="1">
      <c r="A948" s="1766"/>
      <c r="B948" s="1765"/>
      <c r="C948" s="1916"/>
      <c r="D948" s="1915"/>
      <c r="E948" s="1762"/>
      <c r="F948" s="1761"/>
      <c r="G948" s="1762"/>
      <c r="H948" s="1769" t="s">
        <v>99</v>
      </c>
      <c r="I948" s="1773" t="s">
        <v>194</v>
      </c>
      <c r="J948" s="1754" t="s">
        <v>755</v>
      </c>
      <c r="K948" s="1789"/>
      <c r="L948" s="1791"/>
      <c r="M948" s="1772" t="s">
        <v>194</v>
      </c>
      <c r="N948" s="1754" t="s">
        <v>756</v>
      </c>
      <c r="O948" s="1789"/>
      <c r="P948" s="1789"/>
      <c r="Q948" s="1789"/>
      <c r="R948" s="1789"/>
      <c r="S948" s="1789"/>
      <c r="T948" s="1789"/>
      <c r="U948" s="1789"/>
      <c r="V948" s="1789"/>
      <c r="W948" s="1789"/>
      <c r="X948" s="1918"/>
      <c r="Y948" s="1914"/>
      <c r="Z948" s="1913"/>
      <c r="AA948" s="1913"/>
      <c r="AB948" s="1794"/>
      <c r="AC948" s="1912"/>
      <c r="AD948" s="1911"/>
      <c r="AE948" s="1911"/>
      <c r="AF948" s="1910"/>
      <c r="AI948" s="1735" t="str">
        <f>"55:unitcare_code:" &amp; IF(I948="■",1,IF(M948="■",2,0))</f>
        <v>55:unitcare_code:0</v>
      </c>
    </row>
    <row r="949" spans="1:35" s="1735" customFormat="1" ht="18.75" hidden="1" customHeight="1">
      <c r="A949" s="1766"/>
      <c r="B949" s="1765"/>
      <c r="C949" s="1916"/>
      <c r="D949" s="1915"/>
      <c r="E949" s="1762"/>
      <c r="F949" s="1761"/>
      <c r="G949" s="1762"/>
      <c r="H949" s="1769" t="s">
        <v>757</v>
      </c>
      <c r="I949" s="1773" t="s">
        <v>194</v>
      </c>
      <c r="J949" s="1754" t="s">
        <v>758</v>
      </c>
      <c r="K949" s="1789"/>
      <c r="L949" s="1791"/>
      <c r="M949" s="1772" t="s">
        <v>194</v>
      </c>
      <c r="N949" s="1754" t="s">
        <v>759</v>
      </c>
      <c r="O949" s="1768"/>
      <c r="P949" s="1789"/>
      <c r="Q949" s="1789"/>
      <c r="R949" s="1789"/>
      <c r="S949" s="1789"/>
      <c r="T949" s="1789"/>
      <c r="U949" s="1789"/>
      <c r="V949" s="1789"/>
      <c r="W949" s="1789"/>
      <c r="X949" s="1918"/>
      <c r="Y949" s="1914"/>
      <c r="Z949" s="1913"/>
      <c r="AA949" s="1913"/>
      <c r="AB949" s="1794"/>
      <c r="AC949" s="1912"/>
      <c r="AD949" s="1911"/>
      <c r="AE949" s="1911"/>
      <c r="AF949" s="1910"/>
      <c r="AI949" s="1735" t="str">
        <f>"55:sintaikousoku_code:" &amp; IF(I949="■",1,IF(M949="■",2,0))</f>
        <v>55:sintaikousoku_code:0</v>
      </c>
    </row>
    <row r="950" spans="1:35" s="1735" customFormat="1" ht="18.75" hidden="1" customHeight="1">
      <c r="A950" s="1766"/>
      <c r="B950" s="1765"/>
      <c r="C950" s="1916"/>
      <c r="D950" s="1915"/>
      <c r="E950" s="1762"/>
      <c r="F950" s="1761"/>
      <c r="G950" s="1762"/>
      <c r="H950" s="1769" t="s">
        <v>448</v>
      </c>
      <c r="I950" s="1773" t="s">
        <v>194</v>
      </c>
      <c r="J950" s="1754" t="s">
        <v>758</v>
      </c>
      <c r="K950" s="1789"/>
      <c r="L950" s="1791"/>
      <c r="M950" s="1772" t="s">
        <v>194</v>
      </c>
      <c r="N950" s="1754" t="s">
        <v>759</v>
      </c>
      <c r="O950" s="1768"/>
      <c r="P950" s="1789"/>
      <c r="Q950" s="1789"/>
      <c r="R950" s="1789"/>
      <c r="S950" s="1789"/>
      <c r="T950" s="1789"/>
      <c r="U950" s="1789"/>
      <c r="V950" s="1789"/>
      <c r="W950" s="1789"/>
      <c r="X950" s="1918"/>
      <c r="Y950" s="1914"/>
      <c r="Z950" s="1913"/>
      <c r="AA950" s="1913"/>
      <c r="AB950" s="1794"/>
      <c r="AC950" s="1912"/>
      <c r="AD950" s="1911"/>
      <c r="AE950" s="1911"/>
      <c r="AF950" s="1910"/>
      <c r="AI950" s="1735" t="str">
        <f>"55:field208:" &amp; IF(I950="■",1,IF(M950="■",2,0))</f>
        <v>55:field208:0</v>
      </c>
    </row>
    <row r="951" spans="1:35" s="1735" customFormat="1" ht="19.5" hidden="1" customHeight="1">
      <c r="A951" s="1766"/>
      <c r="B951" s="1765"/>
      <c r="C951" s="1764"/>
      <c r="D951" s="1763"/>
      <c r="E951" s="1762"/>
      <c r="F951" s="1761"/>
      <c r="G951" s="1793"/>
      <c r="H951" s="1792" t="s">
        <v>760</v>
      </c>
      <c r="I951" s="1773" t="s">
        <v>194</v>
      </c>
      <c r="J951" s="1754" t="s">
        <v>758</v>
      </c>
      <c r="K951" s="1789"/>
      <c r="L951" s="1791"/>
      <c r="M951" s="1772" t="s">
        <v>194</v>
      </c>
      <c r="N951" s="1754" t="s">
        <v>761</v>
      </c>
      <c r="O951" s="1920"/>
      <c r="P951" s="1754"/>
      <c r="Q951" s="1768"/>
      <c r="R951" s="1768"/>
      <c r="S951" s="1768"/>
      <c r="T951" s="1768"/>
      <c r="U951" s="1768"/>
      <c r="V951" s="1768"/>
      <c r="W951" s="1768"/>
      <c r="X951" s="1767"/>
      <c r="Y951" s="1913"/>
      <c r="Z951" s="1913"/>
      <c r="AA951" s="1913"/>
      <c r="AB951" s="1794"/>
      <c r="AC951" s="1912"/>
      <c r="AD951" s="1911"/>
      <c r="AE951" s="1911"/>
      <c r="AF951" s="1910"/>
      <c r="AI951" s="1735" t="str">
        <f>"55:field223:" &amp; IF(I951="■",1,IF(M951="■",2,0))</f>
        <v>55:field223:0</v>
      </c>
    </row>
    <row r="952" spans="1:35" s="1735" customFormat="1" ht="19.5" hidden="1" customHeight="1">
      <c r="A952" s="1766"/>
      <c r="B952" s="1765"/>
      <c r="C952" s="1764"/>
      <c r="D952" s="1763"/>
      <c r="E952" s="1762"/>
      <c r="F952" s="1761"/>
      <c r="G952" s="1793"/>
      <c r="H952" s="1792" t="s">
        <v>762</v>
      </c>
      <c r="I952" s="1773" t="s">
        <v>194</v>
      </c>
      <c r="J952" s="1754" t="s">
        <v>758</v>
      </c>
      <c r="K952" s="1789"/>
      <c r="L952" s="1791"/>
      <c r="M952" s="1772" t="s">
        <v>194</v>
      </c>
      <c r="N952" s="1754" t="s">
        <v>761</v>
      </c>
      <c r="O952" s="1920"/>
      <c r="P952" s="1754"/>
      <c r="Q952" s="1768"/>
      <c r="R952" s="1768"/>
      <c r="S952" s="1768"/>
      <c r="T952" s="1768"/>
      <c r="U952" s="1768"/>
      <c r="V952" s="1768"/>
      <c r="W952" s="1768"/>
      <c r="X952" s="1767"/>
      <c r="Y952" s="1913"/>
      <c r="Z952" s="1913"/>
      <c r="AA952" s="1913"/>
      <c r="AB952" s="1794"/>
      <c r="AC952" s="1912"/>
      <c r="AD952" s="1911"/>
      <c r="AE952" s="1911"/>
      <c r="AF952" s="1910"/>
      <c r="AI952" s="1735" t="str">
        <f>"55:field232:" &amp; IF(I952="■",1,IF(M952="■",2,0))</f>
        <v>55:field232:0</v>
      </c>
    </row>
    <row r="953" spans="1:35" s="1735" customFormat="1" ht="18.75" hidden="1" customHeight="1">
      <c r="A953" s="1766"/>
      <c r="B953" s="1765"/>
      <c r="C953" s="1916"/>
      <c r="D953" s="1915"/>
      <c r="E953" s="1762"/>
      <c r="F953" s="1761"/>
      <c r="G953" s="1762"/>
      <c r="H953" s="1788" t="s">
        <v>763</v>
      </c>
      <c r="I953" s="1868" t="s">
        <v>194</v>
      </c>
      <c r="J953" s="1830" t="s">
        <v>750</v>
      </c>
      <c r="K953" s="1830"/>
      <c r="L953" s="1919" t="s">
        <v>194</v>
      </c>
      <c r="M953" s="1830" t="s">
        <v>764</v>
      </c>
      <c r="N953" s="1830"/>
      <c r="O953" s="1785"/>
      <c r="P953" s="1785"/>
      <c r="Q953" s="1785"/>
      <c r="R953" s="1785"/>
      <c r="S953" s="1785"/>
      <c r="T953" s="1785"/>
      <c r="U953" s="1785"/>
      <c r="V953" s="1785"/>
      <c r="W953" s="1785"/>
      <c r="X953" s="1784"/>
      <c r="Y953" s="1914"/>
      <c r="Z953" s="1913"/>
      <c r="AA953" s="1913"/>
      <c r="AB953" s="1794"/>
      <c r="AC953" s="1912"/>
      <c r="AD953" s="1911"/>
      <c r="AE953" s="1911"/>
      <c r="AF953" s="1910"/>
      <c r="AI953" s="1735" t="str">
        <f>"55:field206:" &amp; IF(I953="■",1,IF(L953="■",2,0))</f>
        <v>55:field206:0</v>
      </c>
    </row>
    <row r="954" spans="1:35" s="1735" customFormat="1" ht="18.75" hidden="1" customHeight="1">
      <c r="A954" s="1766"/>
      <c r="B954" s="1765"/>
      <c r="C954" s="1916"/>
      <c r="D954" s="1915"/>
      <c r="E954" s="1762"/>
      <c r="F954" s="1761"/>
      <c r="G954" s="1762"/>
      <c r="H954" s="1783"/>
      <c r="I954" s="1819"/>
      <c r="J954" s="1781"/>
      <c r="K954" s="1781"/>
      <c r="L954" s="1818"/>
      <c r="M954" s="1781"/>
      <c r="N954" s="1781"/>
      <c r="O954" s="1780"/>
      <c r="P954" s="1780"/>
      <c r="Q954" s="1780"/>
      <c r="R954" s="1780"/>
      <c r="S954" s="1780"/>
      <c r="T954" s="1780"/>
      <c r="U954" s="1780"/>
      <c r="V954" s="1780"/>
      <c r="W954" s="1780"/>
      <c r="X954" s="1779"/>
      <c r="Y954" s="1914"/>
      <c r="Z954" s="1913"/>
      <c r="AA954" s="1913"/>
      <c r="AB954" s="1794"/>
      <c r="AC954" s="1912"/>
      <c r="AD954" s="1911"/>
      <c r="AE954" s="1911"/>
      <c r="AF954" s="1910"/>
    </row>
    <row r="955" spans="1:35" s="1735" customFormat="1" ht="18.75" hidden="1" customHeight="1">
      <c r="A955" s="1766"/>
      <c r="B955" s="1765"/>
      <c r="C955" s="1916"/>
      <c r="D955" s="1915"/>
      <c r="E955" s="1762"/>
      <c r="F955" s="1761"/>
      <c r="G955" s="1762"/>
      <c r="H955" s="1769" t="s">
        <v>1560</v>
      </c>
      <c r="I955" s="1773" t="s">
        <v>194</v>
      </c>
      <c r="J955" s="1754" t="s">
        <v>1557</v>
      </c>
      <c r="K955" s="1789"/>
      <c r="L955" s="1791"/>
      <c r="M955" s="1772" t="s">
        <v>194</v>
      </c>
      <c r="N955" s="1754" t="s">
        <v>1556</v>
      </c>
      <c r="O955" s="1768"/>
      <c r="P955" s="1789"/>
      <c r="Q955" s="1789"/>
      <c r="R955" s="1789"/>
      <c r="S955" s="1789"/>
      <c r="T955" s="1789"/>
      <c r="U955" s="1789"/>
      <c r="V955" s="1789"/>
      <c r="W955" s="1789"/>
      <c r="X955" s="1918"/>
      <c r="Y955" s="1914"/>
      <c r="Z955" s="1913"/>
      <c r="AA955" s="1913"/>
      <c r="AB955" s="1794"/>
      <c r="AC955" s="1912"/>
      <c r="AD955" s="1911"/>
      <c r="AE955" s="1911"/>
      <c r="AF955" s="1910"/>
      <c r="AI955" s="1735" t="str">
        <f>"55:field190:" &amp; IF(I955="■",1,IF(M955="■",2,0))</f>
        <v>55:field190:0</v>
      </c>
    </row>
    <row r="956" spans="1:35" s="1735" customFormat="1" ht="18.75" hidden="1" customHeight="1">
      <c r="A956" s="1766"/>
      <c r="B956" s="1765"/>
      <c r="C956" s="1916"/>
      <c r="D956" s="1915"/>
      <c r="E956" s="1762"/>
      <c r="F956" s="1761"/>
      <c r="G956" s="1762"/>
      <c r="H956" s="1769" t="s">
        <v>1558</v>
      </c>
      <c r="I956" s="1773" t="s">
        <v>194</v>
      </c>
      <c r="J956" s="1754" t="s">
        <v>1557</v>
      </c>
      <c r="K956" s="1789"/>
      <c r="L956" s="1791"/>
      <c r="M956" s="1772" t="s">
        <v>194</v>
      </c>
      <c r="N956" s="1754" t="s">
        <v>1556</v>
      </c>
      <c r="O956" s="1768"/>
      <c r="P956" s="1789"/>
      <c r="Q956" s="1789"/>
      <c r="R956" s="1789"/>
      <c r="S956" s="1789"/>
      <c r="T956" s="1789"/>
      <c r="U956" s="1789"/>
      <c r="V956" s="1789"/>
      <c r="W956" s="1789"/>
      <c r="X956" s="1918"/>
      <c r="Y956" s="1914"/>
      <c r="Z956" s="1913"/>
      <c r="AA956" s="1913"/>
      <c r="AB956" s="1794"/>
      <c r="AC956" s="1912"/>
      <c r="AD956" s="1911"/>
      <c r="AE956" s="1911"/>
      <c r="AF956" s="1910"/>
      <c r="AI956" s="1735" t="str">
        <f>"55:field191:" &amp; IF(I956="■",1,IF(M956="■",2,0))</f>
        <v>55:field191:0</v>
      </c>
    </row>
    <row r="957" spans="1:35" s="1735" customFormat="1" ht="18.75" hidden="1" customHeight="1">
      <c r="A957" s="1766"/>
      <c r="B957" s="1765"/>
      <c r="C957" s="1916"/>
      <c r="D957" s="1915"/>
      <c r="E957" s="1762"/>
      <c r="F957" s="1761"/>
      <c r="G957" s="1762"/>
      <c r="H957" s="1769" t="s">
        <v>1555</v>
      </c>
      <c r="I957" s="1758" t="s">
        <v>194</v>
      </c>
      <c r="J957" s="1756" t="s">
        <v>750</v>
      </c>
      <c r="K957" s="1755"/>
      <c r="L957" s="1757" t="s">
        <v>194</v>
      </c>
      <c r="M957" s="1756" t="s">
        <v>764</v>
      </c>
      <c r="N957" s="1771"/>
      <c r="O957" s="1789"/>
      <c r="P957" s="1789"/>
      <c r="Q957" s="1789"/>
      <c r="R957" s="1789"/>
      <c r="S957" s="1789"/>
      <c r="T957" s="1789"/>
      <c r="U957" s="1789"/>
      <c r="V957" s="1789"/>
      <c r="W957" s="1789"/>
      <c r="X957" s="1918"/>
      <c r="Y957" s="1914"/>
      <c r="Z957" s="1913"/>
      <c r="AA957" s="1913"/>
      <c r="AB957" s="1794"/>
      <c r="AC957" s="1912"/>
      <c r="AD957" s="1911"/>
      <c r="AE957" s="1911"/>
      <c r="AF957" s="1910"/>
      <c r="AI957" s="1735" t="str">
        <f>"55:jyakuninti_uke_code:" &amp; IF(I957="■",1,IF(L957="■",2,0))</f>
        <v>55:jyakuninti_uke_code:0</v>
      </c>
    </row>
    <row r="958" spans="1:35" s="1735" customFormat="1" ht="18.75" hidden="1" customHeight="1">
      <c r="A958" s="1766"/>
      <c r="B958" s="1765"/>
      <c r="C958" s="1916"/>
      <c r="D958" s="1915"/>
      <c r="E958" s="1762"/>
      <c r="F958" s="1761"/>
      <c r="G958" s="1762"/>
      <c r="H958" s="1769" t="s">
        <v>786</v>
      </c>
      <c r="I958" s="1758" t="s">
        <v>194</v>
      </c>
      <c r="J958" s="1756" t="s">
        <v>750</v>
      </c>
      <c r="K958" s="1755"/>
      <c r="L958" s="1757" t="s">
        <v>194</v>
      </c>
      <c r="M958" s="1756" t="s">
        <v>764</v>
      </c>
      <c r="N958" s="1771"/>
      <c r="O958" s="1789"/>
      <c r="P958" s="1789"/>
      <c r="Q958" s="1789"/>
      <c r="R958" s="1789"/>
      <c r="S958" s="1789"/>
      <c r="T958" s="1789"/>
      <c r="U958" s="1789"/>
      <c r="V958" s="1789"/>
      <c r="W958" s="1789"/>
      <c r="X958" s="1918"/>
      <c r="Y958" s="1914"/>
      <c r="Z958" s="1913"/>
      <c r="AA958" s="1913"/>
      <c r="AB958" s="1794"/>
      <c r="AC958" s="1912"/>
      <c r="AD958" s="1911"/>
      <c r="AE958" s="1911"/>
      <c r="AF958" s="1910"/>
      <c r="AI958" s="1735" t="str">
        <f>"55:field207:" &amp; IF(I958="■",1,IF(L958="■",2,0))</f>
        <v>55:field207:0</v>
      </c>
    </row>
    <row r="959" spans="1:35" s="1735" customFormat="1" ht="18.75" hidden="1" customHeight="1">
      <c r="A959" s="1766"/>
      <c r="B959" s="1765"/>
      <c r="C959" s="1916"/>
      <c r="D959" s="1915"/>
      <c r="E959" s="1762"/>
      <c r="F959" s="1761"/>
      <c r="G959" s="1762"/>
      <c r="H959" s="1769" t="s">
        <v>787</v>
      </c>
      <c r="I959" s="1758" t="s">
        <v>194</v>
      </c>
      <c r="J959" s="1756" t="s">
        <v>750</v>
      </c>
      <c r="K959" s="1755"/>
      <c r="L959" s="1757" t="s">
        <v>194</v>
      </c>
      <c r="M959" s="1756" t="s">
        <v>764</v>
      </c>
      <c r="N959" s="1771"/>
      <c r="O959" s="1789"/>
      <c r="P959" s="1789"/>
      <c r="Q959" s="1789"/>
      <c r="R959" s="1789"/>
      <c r="S959" s="1789"/>
      <c r="T959" s="1789"/>
      <c r="U959" s="1789"/>
      <c r="V959" s="1789"/>
      <c r="W959" s="1789"/>
      <c r="X959" s="1918"/>
      <c r="Y959" s="1914"/>
      <c r="Z959" s="1913"/>
      <c r="AA959" s="1913"/>
      <c r="AB959" s="1794"/>
      <c r="AC959" s="1912"/>
      <c r="AD959" s="1911"/>
      <c r="AE959" s="1911"/>
      <c r="AF959" s="1910"/>
      <c r="AI959" s="1735" t="str">
        <f>"55:ryouyoushoku_code:" &amp; IF(I959="■",1,IF(L959="■",2,0))</f>
        <v>55:ryouyoushoku_code:0</v>
      </c>
    </row>
    <row r="960" spans="1:35" s="1735" customFormat="1" ht="18.75" hidden="1" customHeight="1">
      <c r="A960" s="1776" t="s">
        <v>194</v>
      </c>
      <c r="B960" s="1765">
        <v>55</v>
      </c>
      <c r="C960" s="1916" t="s">
        <v>1563</v>
      </c>
      <c r="D960" s="1776" t="s">
        <v>194</v>
      </c>
      <c r="E960" s="1762" t="s">
        <v>1593</v>
      </c>
      <c r="F960" s="1776" t="s">
        <v>194</v>
      </c>
      <c r="G960" s="1762" t="s">
        <v>1592</v>
      </c>
      <c r="H960" s="1925" t="s">
        <v>1590</v>
      </c>
      <c r="I960" s="1924" t="s">
        <v>194</v>
      </c>
      <c r="J960" s="1923" t="s">
        <v>1589</v>
      </c>
      <c r="K960" s="1923"/>
      <c r="L960" s="1829"/>
      <c r="M960" s="1829"/>
      <c r="N960" s="1829"/>
      <c r="O960" s="1829"/>
      <c r="P960" s="1922" t="s">
        <v>194</v>
      </c>
      <c r="Q960" s="1923" t="s">
        <v>1588</v>
      </c>
      <c r="R960" s="1829"/>
      <c r="S960" s="1829"/>
      <c r="T960" s="1829"/>
      <c r="U960" s="1829"/>
      <c r="V960" s="1829"/>
      <c r="W960" s="1829"/>
      <c r="X960" s="1828"/>
      <c r="Y960" s="1914"/>
      <c r="Z960" s="1913"/>
      <c r="AA960" s="1913"/>
      <c r="AB960" s="1794"/>
      <c r="AC960" s="1912"/>
      <c r="AD960" s="1911"/>
      <c r="AE960" s="1911"/>
      <c r="AF960" s="1910"/>
      <c r="AI960" s="1735" t="str">
        <f>"55:" &amp; IF(AND(I960="□",P960="□",I961="□"),"tokusin_jyusho_code:0:tokusin_yakuzai_code:0:shuudan_comu_code:0",IF(I960="■","tokusin_jyusho_code:2","tokusin_jyusho_code:1")
&amp;IF(P960="■",":tokusin_yakuzai_code:2",":tokusin_yakuzai_code:1")
&amp;IF(I961="■",":shuudan_comu_code:2",":shuudan_comu_code:1"))</f>
        <v>55:tokusin_jyusho_code:0:tokusin_yakuzai_code:0:shuudan_comu_code:0</v>
      </c>
    </row>
    <row r="961" spans="1:35" s="1735" customFormat="1" ht="18.75" hidden="1" customHeight="1">
      <c r="A961" s="1766"/>
      <c r="B961" s="1765"/>
      <c r="C961" s="1916"/>
      <c r="D961" s="1915"/>
      <c r="E961" s="1762"/>
      <c r="F961" s="1776" t="s">
        <v>194</v>
      </c>
      <c r="G961" s="1762" t="s">
        <v>1591</v>
      </c>
      <c r="H961" s="1921"/>
      <c r="I961" s="1758" t="s">
        <v>194</v>
      </c>
      <c r="J961" s="1756" t="s">
        <v>1585</v>
      </c>
      <c r="K961" s="1827"/>
      <c r="L961" s="1827"/>
      <c r="M961" s="1827"/>
      <c r="N961" s="1827"/>
      <c r="O961" s="1827"/>
      <c r="P961" s="1827"/>
      <c r="Q961" s="1780"/>
      <c r="R961" s="1827"/>
      <c r="S961" s="1827"/>
      <c r="T961" s="1827"/>
      <c r="U961" s="1827"/>
      <c r="V961" s="1827"/>
      <c r="W961" s="1827"/>
      <c r="X961" s="1826"/>
      <c r="Y961" s="1914"/>
      <c r="Z961" s="1913"/>
      <c r="AA961" s="1913"/>
      <c r="AB961" s="1794"/>
      <c r="AC961" s="1912"/>
      <c r="AD961" s="1911"/>
      <c r="AE961" s="1911"/>
      <c r="AF961" s="1910"/>
    </row>
    <row r="962" spans="1:35" s="1735" customFormat="1" ht="18.75" hidden="1" customHeight="1">
      <c r="A962" s="1766"/>
      <c r="B962" s="1765"/>
      <c r="C962" s="1916"/>
      <c r="D962" s="1915"/>
      <c r="E962" s="1762"/>
      <c r="F962" s="1761"/>
      <c r="G962" s="1762"/>
      <c r="H962" s="1925" t="s">
        <v>1584</v>
      </c>
      <c r="I962" s="1924" t="s">
        <v>194</v>
      </c>
      <c r="J962" s="1923" t="s">
        <v>1583</v>
      </c>
      <c r="K962" s="1938"/>
      <c r="L962" s="1937"/>
      <c r="M962" s="1922" t="s">
        <v>194</v>
      </c>
      <c r="N962" s="1923" t="s">
        <v>1582</v>
      </c>
      <c r="O962" s="1829"/>
      <c r="P962" s="1829"/>
      <c r="Q962" s="1922" t="s">
        <v>194</v>
      </c>
      <c r="R962" s="1923" t="s">
        <v>1581</v>
      </c>
      <c r="S962" s="1829"/>
      <c r="T962" s="1829"/>
      <c r="U962" s="1829"/>
      <c r="V962" s="1829"/>
      <c r="W962" s="1829"/>
      <c r="X962" s="1828"/>
      <c r="Y962" s="1914"/>
      <c r="Z962" s="1913"/>
      <c r="AA962" s="1913"/>
      <c r="AB962" s="1794"/>
      <c r="AC962" s="1912"/>
      <c r="AD962" s="1911"/>
      <c r="AE962" s="1911"/>
      <c r="AF962" s="1910"/>
      <c r="AI962" s="1735" t="str">
        <f>"55:"&amp;IF(AND(I962="□",M962="□",Q962="□",I963="□",Q963="□"),"koriha_rryoho1_code:0:koriha_sryoho_code:0:koriha_gengo_code:0:riha_seisin_code:0:koriha_other_code:0",IF(I962="■","koriha_rryoho1_code:2","koriha_rryoho1_code:1")
&amp;IF(M962="■",":koriha_sryoho_code:2",":koriha_sryoho_code:1")
&amp;IF(Q962="■",":koriha_gengo_code:2",":koriha_gengo_code:1")
&amp;IF(I963="■",":riha_seisin_code:2",":riha_seisin_code:1")
&amp;IF(Q963="■",":koriha_other_code:2",":koriha_other_code:1"))</f>
        <v>55:koriha_rryoho1_code:0:koriha_sryoho_code:0:koriha_gengo_code:0:riha_seisin_code:0:koriha_other_code:0</v>
      </c>
    </row>
    <row r="963" spans="1:35" s="1735" customFormat="1" ht="18.75" hidden="1" customHeight="1">
      <c r="A963" s="1766"/>
      <c r="B963" s="1765"/>
      <c r="C963" s="1916"/>
      <c r="D963" s="1915"/>
      <c r="E963" s="1762"/>
      <c r="F963" s="1761"/>
      <c r="G963" s="1762"/>
      <c r="H963" s="1921"/>
      <c r="I963" s="1758" t="s">
        <v>194</v>
      </c>
      <c r="J963" s="1756" t="s">
        <v>1580</v>
      </c>
      <c r="K963" s="1827"/>
      <c r="L963" s="1827"/>
      <c r="M963" s="1827"/>
      <c r="N963" s="1827"/>
      <c r="O963" s="1827"/>
      <c r="P963" s="1827"/>
      <c r="Q963" s="1757" t="s">
        <v>194</v>
      </c>
      <c r="R963" s="1756" t="s">
        <v>1579</v>
      </c>
      <c r="S963" s="1780"/>
      <c r="T963" s="1827"/>
      <c r="U963" s="1827"/>
      <c r="V963" s="1827"/>
      <c r="W963" s="1827"/>
      <c r="X963" s="1826"/>
      <c r="Y963" s="1914"/>
      <c r="Z963" s="1913"/>
      <c r="AA963" s="1913"/>
      <c r="AB963" s="1794"/>
      <c r="AC963" s="1912"/>
      <c r="AD963" s="1911"/>
      <c r="AE963" s="1911"/>
      <c r="AF963" s="1910"/>
    </row>
    <row r="964" spans="1:35" s="1735" customFormat="1" ht="18.75" hidden="1" customHeight="1">
      <c r="A964" s="1766"/>
      <c r="B964" s="1765"/>
      <c r="C964" s="1916"/>
      <c r="D964" s="1915"/>
      <c r="E964" s="1762"/>
      <c r="F964" s="1761"/>
      <c r="G964" s="1762"/>
      <c r="H964" s="1788" t="s">
        <v>1578</v>
      </c>
      <c r="I964" s="1868" t="s">
        <v>194</v>
      </c>
      <c r="J964" s="1830" t="s">
        <v>750</v>
      </c>
      <c r="K964" s="1830"/>
      <c r="L964" s="1919" t="s">
        <v>194</v>
      </c>
      <c r="M964" s="1830" t="s">
        <v>1577</v>
      </c>
      <c r="N964" s="1830"/>
      <c r="O964" s="1830"/>
      <c r="P964" s="1919" t="s">
        <v>194</v>
      </c>
      <c r="Q964" s="1830" t="s">
        <v>1576</v>
      </c>
      <c r="R964" s="1830"/>
      <c r="S964" s="1830"/>
      <c r="T964" s="1919" t="s">
        <v>194</v>
      </c>
      <c r="U964" s="1830" t="s">
        <v>1575</v>
      </c>
      <c r="V964" s="1830"/>
      <c r="W964" s="1830"/>
      <c r="X964" s="1936"/>
      <c r="Y964" s="1914"/>
      <c r="Z964" s="1913"/>
      <c r="AA964" s="1913"/>
      <c r="AB964" s="1794"/>
      <c r="AC964" s="1912"/>
      <c r="AD964" s="1911"/>
      <c r="AE964" s="1911"/>
      <c r="AF964" s="1910"/>
      <c r="AI964" s="1735" t="str">
        <f>"55:"&amp;IF(AND(I964="□",L964="□",P964="□",T964="□"),"field236:0:field237:0:field238:0",IF(I964="■","field236:1:field237:1:field238:1",IF(L964="■","field236:2","field236:1")
&amp;IF(P964="■",":field237:2",":field237:1")
&amp;IF(T964="■",":field238:2",":field238:1")))</f>
        <v>55:field236:0:field237:0:field238:0</v>
      </c>
    </row>
    <row r="965" spans="1:35" s="1735" customFormat="1" ht="18.75" hidden="1" customHeight="1">
      <c r="A965" s="1766"/>
      <c r="B965" s="1765"/>
      <c r="C965" s="1916"/>
      <c r="D965" s="1915"/>
      <c r="E965" s="1762"/>
      <c r="F965" s="1761"/>
      <c r="G965" s="1762"/>
      <c r="H965" s="1783"/>
      <c r="I965" s="1819"/>
      <c r="J965" s="1781"/>
      <c r="K965" s="1781"/>
      <c r="L965" s="1818"/>
      <c r="M965" s="1781"/>
      <c r="N965" s="1781"/>
      <c r="O965" s="1781"/>
      <c r="P965" s="1818"/>
      <c r="Q965" s="1781"/>
      <c r="R965" s="1781"/>
      <c r="S965" s="1781"/>
      <c r="T965" s="1818"/>
      <c r="U965" s="1781"/>
      <c r="V965" s="1781"/>
      <c r="W965" s="1781"/>
      <c r="X965" s="1935"/>
      <c r="Y965" s="1914"/>
      <c r="Z965" s="1913"/>
      <c r="AA965" s="1913"/>
      <c r="AB965" s="1794"/>
      <c r="AC965" s="1912"/>
      <c r="AD965" s="1911"/>
      <c r="AE965" s="1911"/>
      <c r="AF965" s="1910"/>
    </row>
    <row r="966" spans="1:35" s="1735" customFormat="1" ht="18.75" hidden="1" customHeight="1">
      <c r="A966" s="1766"/>
      <c r="B966" s="1765"/>
      <c r="C966" s="1916"/>
      <c r="D966" s="1915"/>
      <c r="E966" s="1762"/>
      <c r="F966" s="1761"/>
      <c r="G966" s="1762"/>
      <c r="H966" s="1759" t="s">
        <v>1574</v>
      </c>
      <c r="I966" s="1758" t="s">
        <v>194</v>
      </c>
      <c r="J966" s="1756" t="s">
        <v>750</v>
      </c>
      <c r="K966" s="1755"/>
      <c r="L966" s="1757" t="s">
        <v>194</v>
      </c>
      <c r="M966" s="1756" t="s">
        <v>764</v>
      </c>
      <c r="N966" s="1789"/>
      <c r="O966" s="1789"/>
      <c r="P966" s="1789"/>
      <c r="Q966" s="1789"/>
      <c r="R966" s="1789"/>
      <c r="S966" s="1789"/>
      <c r="T966" s="1789"/>
      <c r="U966" s="1789"/>
      <c r="V966" s="1789"/>
      <c r="W966" s="1789"/>
      <c r="X966" s="1918"/>
      <c r="Y966" s="1914"/>
      <c r="Z966" s="1913"/>
      <c r="AA966" s="1913"/>
      <c r="AB966" s="1794"/>
      <c r="AC966" s="1912"/>
      <c r="AD966" s="1911"/>
      <c r="AE966" s="1911"/>
      <c r="AF966" s="1910"/>
      <c r="AI966" s="1735" t="str">
        <f>"55:ninti_riha_code:" &amp; IF(I966="■",1,IF(L966="■",2,0))</f>
        <v>55:ninti_riha_code:0</v>
      </c>
    </row>
    <row r="967" spans="1:35" s="1735" customFormat="1" ht="18.75" hidden="1" customHeight="1">
      <c r="A967" s="1766"/>
      <c r="B967" s="1765"/>
      <c r="C967" s="1916"/>
      <c r="D967" s="1915"/>
      <c r="E967" s="1762"/>
      <c r="F967" s="1761"/>
      <c r="G967" s="1762"/>
      <c r="H967" s="1769" t="s">
        <v>791</v>
      </c>
      <c r="I967" s="1773" t="s">
        <v>194</v>
      </c>
      <c r="J967" s="1754" t="s">
        <v>750</v>
      </c>
      <c r="K967" s="1754"/>
      <c r="L967" s="1772" t="s">
        <v>194</v>
      </c>
      <c r="M967" s="1754" t="s">
        <v>784</v>
      </c>
      <c r="N967" s="1754"/>
      <c r="O967" s="1772" t="s">
        <v>194</v>
      </c>
      <c r="P967" s="1754" t="s">
        <v>785</v>
      </c>
      <c r="Q967" s="1768"/>
      <c r="R967" s="1789"/>
      <c r="S967" s="1789"/>
      <c r="T967" s="1789"/>
      <c r="U967" s="1789"/>
      <c r="V967" s="1789"/>
      <c r="W967" s="1789"/>
      <c r="X967" s="1918"/>
      <c r="Y967" s="1914"/>
      <c r="Z967" s="1913"/>
      <c r="AA967" s="1913"/>
      <c r="AB967" s="1794"/>
      <c r="AC967" s="1912"/>
      <c r="AD967" s="1911"/>
      <c r="AE967" s="1911"/>
      <c r="AF967" s="1910"/>
      <c r="AI967" s="1735" t="str">
        <f>"55:ninti_senmoncare_code:" &amp; IF(I967="■",1,IF(O967="■",3,IF(L967="■",2,0)))</f>
        <v>55:ninti_senmoncare_code:0</v>
      </c>
    </row>
    <row r="968" spans="1:35" s="1735" customFormat="1" ht="18.75" hidden="1" customHeight="1">
      <c r="A968" s="1766"/>
      <c r="B968" s="1765"/>
      <c r="C968" s="1916"/>
      <c r="D968" s="1915"/>
      <c r="E968" s="1762"/>
      <c r="F968" s="1761"/>
      <c r="G968" s="1762"/>
      <c r="H968" s="1769" t="s">
        <v>792</v>
      </c>
      <c r="I968" s="1773" t="s">
        <v>194</v>
      </c>
      <c r="J968" s="1754" t="s">
        <v>750</v>
      </c>
      <c r="K968" s="1754"/>
      <c r="L968" s="1772" t="s">
        <v>194</v>
      </c>
      <c r="M968" s="1754" t="s">
        <v>784</v>
      </c>
      <c r="N968" s="1754"/>
      <c r="O968" s="1772" t="s">
        <v>194</v>
      </c>
      <c r="P968" s="1754" t="s">
        <v>785</v>
      </c>
      <c r="Q968" s="1789"/>
      <c r="R968" s="1789"/>
      <c r="S968" s="1789"/>
      <c r="T968" s="1789"/>
      <c r="U968" s="1789"/>
      <c r="V968" s="1789"/>
      <c r="W968" s="1789"/>
      <c r="X968" s="1918"/>
      <c r="Y968" s="1914"/>
      <c r="Z968" s="1913"/>
      <c r="AA968" s="1913"/>
      <c r="AB968" s="1794"/>
      <c r="AC968" s="1912"/>
      <c r="AD968" s="1911"/>
      <c r="AE968" s="1911"/>
      <c r="AF968" s="1910"/>
      <c r="AI968" s="1735" t="str">
        <f>"55:field228:" &amp; IF(I968="■",1,IF(L968="■",2,IF(O968="■",3,0)))</f>
        <v>55:field228:0</v>
      </c>
    </row>
    <row r="969" spans="1:35" s="1735" customFormat="1" ht="18.75" hidden="1" customHeight="1">
      <c r="A969" s="1766"/>
      <c r="B969" s="1765"/>
      <c r="C969" s="1916"/>
      <c r="D969" s="1915"/>
      <c r="E969" s="1762"/>
      <c r="F969" s="1761"/>
      <c r="G969" s="1762"/>
      <c r="H969" s="1769" t="s">
        <v>1573</v>
      </c>
      <c r="I969" s="1773" t="s">
        <v>194</v>
      </c>
      <c r="J969" s="1754" t="s">
        <v>750</v>
      </c>
      <c r="K969" s="1754"/>
      <c r="L969" s="1772" t="s">
        <v>194</v>
      </c>
      <c r="M969" s="1754" t="s">
        <v>784</v>
      </c>
      <c r="N969" s="1754"/>
      <c r="O969" s="1772" t="s">
        <v>194</v>
      </c>
      <c r="P969" s="1754" t="s">
        <v>785</v>
      </c>
      <c r="Q969" s="1768"/>
      <c r="R969" s="1754"/>
      <c r="S969" s="1754"/>
      <c r="T969" s="1754"/>
      <c r="U969" s="1754"/>
      <c r="V969" s="1754"/>
      <c r="W969" s="1754"/>
      <c r="X969" s="1753"/>
      <c r="Y969" s="1914"/>
      <c r="Z969" s="1913"/>
      <c r="AA969" s="1913"/>
      <c r="AB969" s="1794"/>
      <c r="AC969" s="1912"/>
      <c r="AD969" s="1911"/>
      <c r="AE969" s="1911"/>
      <c r="AF969" s="1910"/>
      <c r="AI969" s="1735" t="str">
        <f>"55:field164:" &amp; IF(I969="■",1,IF(L969="■",2,IF(O969="■",3,0)))</f>
        <v>55:field164:0</v>
      </c>
    </row>
    <row r="970" spans="1:35" s="1735" customFormat="1" ht="18.75" hidden="1" customHeight="1">
      <c r="A970" s="1766"/>
      <c r="B970" s="1765"/>
      <c r="C970" s="1916"/>
      <c r="D970" s="1915"/>
      <c r="E970" s="1762"/>
      <c r="F970" s="1761"/>
      <c r="G970" s="1762"/>
      <c r="H970" s="1777" t="s">
        <v>454</v>
      </c>
      <c r="I970" s="1758" t="s">
        <v>194</v>
      </c>
      <c r="J970" s="1756" t="s">
        <v>750</v>
      </c>
      <c r="K970" s="1755"/>
      <c r="L970" s="1757" t="s">
        <v>194</v>
      </c>
      <c r="M970" s="1756" t="s">
        <v>764</v>
      </c>
      <c r="N970" s="1789"/>
      <c r="O970" s="1789"/>
      <c r="P970" s="1789"/>
      <c r="Q970" s="1789"/>
      <c r="R970" s="1789"/>
      <c r="S970" s="1789"/>
      <c r="T970" s="1789"/>
      <c r="U970" s="1789"/>
      <c r="V970" s="1789"/>
      <c r="W970" s="1789"/>
      <c r="X970" s="1918"/>
      <c r="Y970" s="1914"/>
      <c r="Z970" s="1913"/>
      <c r="AA970" s="1913"/>
      <c r="AB970" s="1794"/>
      <c r="AC970" s="1912"/>
      <c r="AD970" s="1911"/>
      <c r="AE970" s="1911"/>
      <c r="AF970" s="1910"/>
      <c r="AI970" s="1735" t="str">
        <f>"55:field210:" &amp; IF(I970="■",1,IF(L970="■",2,0))</f>
        <v>55:field210:0</v>
      </c>
    </row>
    <row r="971" spans="1:35" s="1735" customFormat="1" ht="18.75" hidden="1" customHeight="1">
      <c r="A971" s="1766"/>
      <c r="B971" s="1765"/>
      <c r="C971" s="1916"/>
      <c r="D971" s="1915"/>
      <c r="E971" s="1762"/>
      <c r="F971" s="1761"/>
      <c r="G971" s="1762"/>
      <c r="H971" s="1769" t="s">
        <v>455</v>
      </c>
      <c r="I971" s="1758" t="s">
        <v>194</v>
      </c>
      <c r="J971" s="1756" t="s">
        <v>750</v>
      </c>
      <c r="K971" s="1755"/>
      <c r="L971" s="1757" t="s">
        <v>194</v>
      </c>
      <c r="M971" s="1756" t="s">
        <v>764</v>
      </c>
      <c r="N971" s="1789"/>
      <c r="O971" s="1789"/>
      <c r="P971" s="1789"/>
      <c r="Q971" s="1789"/>
      <c r="R971" s="1789"/>
      <c r="S971" s="1789"/>
      <c r="T971" s="1789"/>
      <c r="U971" s="1789"/>
      <c r="V971" s="1789"/>
      <c r="W971" s="1789"/>
      <c r="X971" s="1918"/>
      <c r="Y971" s="1914"/>
      <c r="Z971" s="1913"/>
      <c r="AA971" s="1913"/>
      <c r="AB971" s="1794"/>
      <c r="AC971" s="1912"/>
      <c r="AD971" s="1911"/>
      <c r="AE971" s="1911"/>
      <c r="AF971" s="1910"/>
      <c r="AI971" s="1735" t="str">
        <f>"55:field211:" &amp; IF(I971="■",1,IF(L971="■",2,0))</f>
        <v>55:field211:0</v>
      </c>
    </row>
    <row r="972" spans="1:35" s="1735" customFormat="1" ht="18.75" hidden="1" customHeight="1">
      <c r="A972" s="1766"/>
      <c r="B972" s="1765"/>
      <c r="C972" s="1916"/>
      <c r="D972" s="1915"/>
      <c r="E972" s="1762"/>
      <c r="F972" s="1761"/>
      <c r="G972" s="1762"/>
      <c r="H972" s="1769" t="s">
        <v>456</v>
      </c>
      <c r="I972" s="1758" t="s">
        <v>194</v>
      </c>
      <c r="J972" s="1756" t="s">
        <v>750</v>
      </c>
      <c r="K972" s="1755"/>
      <c r="L972" s="1757" t="s">
        <v>194</v>
      </c>
      <c r="M972" s="1756" t="s">
        <v>764</v>
      </c>
      <c r="N972" s="1789"/>
      <c r="O972" s="1789"/>
      <c r="P972" s="1789"/>
      <c r="Q972" s="1789"/>
      <c r="R972" s="1789"/>
      <c r="S972" s="1789"/>
      <c r="T972" s="1789"/>
      <c r="U972" s="1789"/>
      <c r="V972" s="1789"/>
      <c r="W972" s="1789"/>
      <c r="X972" s="1918"/>
      <c r="Y972" s="1914"/>
      <c r="Z972" s="1913"/>
      <c r="AA972" s="1913"/>
      <c r="AB972" s="1794"/>
      <c r="AC972" s="1912"/>
      <c r="AD972" s="1911"/>
      <c r="AE972" s="1911"/>
      <c r="AF972" s="1910"/>
      <c r="AI972" s="1735" t="str">
        <f>"55:field212:" &amp; IF(I972="■",1,IF(L972="■",2,0))</f>
        <v>55:field212:0</v>
      </c>
    </row>
    <row r="973" spans="1:35" s="1735" customFormat="1" ht="18.75" hidden="1" customHeight="1">
      <c r="A973" s="1766"/>
      <c r="B973" s="1765"/>
      <c r="C973" s="1916"/>
      <c r="D973" s="1915"/>
      <c r="E973" s="1762"/>
      <c r="F973" s="1761"/>
      <c r="G973" s="1762"/>
      <c r="H973" s="1769" t="s">
        <v>457</v>
      </c>
      <c r="I973" s="1758" t="s">
        <v>194</v>
      </c>
      <c r="J973" s="1756" t="s">
        <v>750</v>
      </c>
      <c r="K973" s="1755"/>
      <c r="L973" s="1757" t="s">
        <v>194</v>
      </c>
      <c r="M973" s="1756" t="s">
        <v>764</v>
      </c>
      <c r="N973" s="1789"/>
      <c r="O973" s="1789"/>
      <c r="P973" s="1789"/>
      <c r="Q973" s="1789"/>
      <c r="R973" s="1789"/>
      <c r="S973" s="1789"/>
      <c r="T973" s="1789"/>
      <c r="U973" s="1789"/>
      <c r="V973" s="1789"/>
      <c r="W973" s="1789"/>
      <c r="X973" s="1918"/>
      <c r="Y973" s="1914"/>
      <c r="Z973" s="1913"/>
      <c r="AA973" s="1913"/>
      <c r="AB973" s="1794"/>
      <c r="AC973" s="1912"/>
      <c r="AD973" s="1911"/>
      <c r="AE973" s="1911"/>
      <c r="AF973" s="1910"/>
      <c r="AI973" s="1735" t="str">
        <f>"55:field209:" &amp; IF(I973="■",1,IF(L973="■",2,0))</f>
        <v>55:field209:0</v>
      </c>
    </row>
    <row r="974" spans="1:35" s="1735" customFormat="1" ht="18.75" hidden="1" customHeight="1">
      <c r="A974" s="1766"/>
      <c r="B974" s="1765"/>
      <c r="C974" s="1916"/>
      <c r="D974" s="1915"/>
      <c r="E974" s="1762"/>
      <c r="F974" s="1761"/>
      <c r="G974" s="1762"/>
      <c r="H974" s="1769" t="s">
        <v>1124</v>
      </c>
      <c r="I974" s="1773" t="s">
        <v>194</v>
      </c>
      <c r="J974" s="1754" t="s">
        <v>750</v>
      </c>
      <c r="K974" s="1754"/>
      <c r="L974" s="1772" t="s">
        <v>194</v>
      </c>
      <c r="M974" s="1756" t="s">
        <v>764</v>
      </c>
      <c r="N974" s="1754"/>
      <c r="O974" s="1754"/>
      <c r="P974" s="1754"/>
      <c r="Q974" s="1789"/>
      <c r="R974" s="1789"/>
      <c r="S974" s="1789"/>
      <c r="T974" s="1789"/>
      <c r="U974" s="1789"/>
      <c r="V974" s="1789"/>
      <c r="W974" s="1789"/>
      <c r="X974" s="1918"/>
      <c r="Y974" s="1914"/>
      <c r="Z974" s="1913"/>
      <c r="AA974" s="1913"/>
      <c r="AB974" s="1794"/>
      <c r="AC974" s="1912"/>
      <c r="AD974" s="1911"/>
      <c r="AE974" s="1911"/>
      <c r="AF974" s="1910"/>
      <c r="AI974" s="1735" t="str">
        <f>"55:field226:" &amp; IF(I974="■",1,IF(L974="■",2,0))</f>
        <v>55:field226:0</v>
      </c>
    </row>
    <row r="975" spans="1:35" s="1735" customFormat="1" ht="18.75" hidden="1" customHeight="1">
      <c r="A975" s="1766"/>
      <c r="B975" s="1765"/>
      <c r="C975" s="1916"/>
      <c r="D975" s="1915"/>
      <c r="E975" s="1762"/>
      <c r="F975" s="1761"/>
      <c r="G975" s="1762"/>
      <c r="H975" s="1769" t="s">
        <v>1125</v>
      </c>
      <c r="I975" s="1773" t="s">
        <v>194</v>
      </c>
      <c r="J975" s="1754" t="s">
        <v>750</v>
      </c>
      <c r="K975" s="1754"/>
      <c r="L975" s="1772" t="s">
        <v>194</v>
      </c>
      <c r="M975" s="1756" t="s">
        <v>764</v>
      </c>
      <c r="N975" s="1754"/>
      <c r="O975" s="1754"/>
      <c r="P975" s="1754"/>
      <c r="Q975" s="1789"/>
      <c r="R975" s="1789"/>
      <c r="S975" s="1789"/>
      <c r="T975" s="1789"/>
      <c r="U975" s="1789"/>
      <c r="V975" s="1789"/>
      <c r="W975" s="1789"/>
      <c r="X975" s="1918"/>
      <c r="Y975" s="1914"/>
      <c r="Z975" s="1913"/>
      <c r="AA975" s="1913"/>
      <c r="AB975" s="1794"/>
      <c r="AC975" s="1912"/>
      <c r="AD975" s="1911"/>
      <c r="AE975" s="1911"/>
      <c r="AF975" s="1910"/>
      <c r="AI975" s="1735" t="str">
        <f>"55:field227:" &amp; IF(I975="■",1,IF(L975="■",2,0))</f>
        <v>55:field227:0</v>
      </c>
    </row>
    <row r="976" spans="1:35" s="1735" customFormat="1" ht="18.75" hidden="1" customHeight="1">
      <c r="A976" s="1766"/>
      <c r="B976" s="1765"/>
      <c r="C976" s="1916"/>
      <c r="D976" s="1915"/>
      <c r="E976" s="1762"/>
      <c r="F976" s="1761"/>
      <c r="G976" s="1762"/>
      <c r="H976" s="1917" t="s">
        <v>794</v>
      </c>
      <c r="I976" s="1773" t="s">
        <v>194</v>
      </c>
      <c r="J976" s="1754" t="s">
        <v>750</v>
      </c>
      <c r="K976" s="1754"/>
      <c r="L976" s="1772" t="s">
        <v>194</v>
      </c>
      <c r="M976" s="1754" t="s">
        <v>784</v>
      </c>
      <c r="N976" s="1754"/>
      <c r="O976" s="1772" t="s">
        <v>194</v>
      </c>
      <c r="P976" s="1754" t="s">
        <v>785</v>
      </c>
      <c r="Q976" s="1768"/>
      <c r="R976" s="1768"/>
      <c r="S976" s="1768"/>
      <c r="T976" s="1768"/>
      <c r="U976" s="1829"/>
      <c r="V976" s="1829"/>
      <c r="W976" s="1829"/>
      <c r="X976" s="1828"/>
      <c r="Y976" s="1914"/>
      <c r="Z976" s="1913"/>
      <c r="AA976" s="1913"/>
      <c r="AB976" s="1794"/>
      <c r="AC976" s="1912"/>
      <c r="AD976" s="1911"/>
      <c r="AE976" s="1911"/>
      <c r="AF976" s="1910"/>
      <c r="AI976" s="1735" t="str">
        <f>"55:field225:" &amp; IF(I976="■",1,IF(L976="■",2,IF(O976="■",3,0)))</f>
        <v>55:field225:0</v>
      </c>
    </row>
    <row r="977" spans="1:36" s="1735" customFormat="1" ht="18.75" hidden="1" customHeight="1">
      <c r="A977" s="1766"/>
      <c r="B977" s="1765"/>
      <c r="C977" s="1916"/>
      <c r="D977" s="1915"/>
      <c r="E977" s="1762"/>
      <c r="F977" s="1761"/>
      <c r="G977" s="1762"/>
      <c r="H977" s="1769" t="s">
        <v>795</v>
      </c>
      <c r="I977" s="1773" t="s">
        <v>194</v>
      </c>
      <c r="J977" s="1754" t="s">
        <v>750</v>
      </c>
      <c r="K977" s="1754"/>
      <c r="L977" s="1772" t="s">
        <v>194</v>
      </c>
      <c r="M977" s="1754" t="s">
        <v>796</v>
      </c>
      <c r="N977" s="1754"/>
      <c r="O977" s="1772" t="s">
        <v>194</v>
      </c>
      <c r="P977" s="1754" t="s">
        <v>797</v>
      </c>
      <c r="Q977" s="1771"/>
      <c r="R977" s="1772" t="s">
        <v>194</v>
      </c>
      <c r="S977" s="1754" t="s">
        <v>798</v>
      </c>
      <c r="T977" s="1754"/>
      <c r="U977" s="1754"/>
      <c r="V977" s="1754"/>
      <c r="W977" s="1754"/>
      <c r="X977" s="1753"/>
      <c r="Y977" s="1914"/>
      <c r="Z977" s="1913"/>
      <c r="AA977" s="1913"/>
      <c r="AB977" s="1794"/>
      <c r="AC977" s="1912"/>
      <c r="AD977" s="1911"/>
      <c r="AE977" s="1911"/>
      <c r="AF977" s="1910"/>
      <c r="AI977" s="1735" t="str">
        <f>"55:serteikyo_kyoka_code:" &amp; IF(I977="■",1,IF(L977="■",6,IF(O977="■",5,IF(R977="■",7,0))))</f>
        <v>55:serteikyo_kyoka_code:0</v>
      </c>
    </row>
    <row r="978" spans="1:36" s="1735" customFormat="1" ht="18.75" hidden="1" customHeight="1">
      <c r="A978" s="1752"/>
      <c r="B978" s="1751"/>
      <c r="C978" s="1750"/>
      <c r="D978" s="1749"/>
      <c r="E978" s="1748"/>
      <c r="F978" s="1747"/>
      <c r="G978" s="1808"/>
      <c r="H978" s="1909" t="s">
        <v>1553</v>
      </c>
      <c r="I978" s="1744" t="s">
        <v>194</v>
      </c>
      <c r="J978" s="1905" t="s">
        <v>750</v>
      </c>
      <c r="K978" s="1905"/>
      <c r="L978" s="1743" t="s">
        <v>194</v>
      </c>
      <c r="M978" s="1905" t="s">
        <v>1552</v>
      </c>
      <c r="N978" s="1908"/>
      <c r="O978" s="1743" t="s">
        <v>194</v>
      </c>
      <c r="P978" s="1907" t="s">
        <v>1551</v>
      </c>
      <c r="Q978" s="1906"/>
      <c r="R978" s="1743" t="s">
        <v>194</v>
      </c>
      <c r="S978" s="1905" t="s">
        <v>1550</v>
      </c>
      <c r="T978" s="1906"/>
      <c r="U978" s="1743" t="s">
        <v>194</v>
      </c>
      <c r="V978" s="1905" t="s">
        <v>1549</v>
      </c>
      <c r="W978" s="1904"/>
      <c r="X978" s="1903"/>
      <c r="Y978" s="1902"/>
      <c r="Z978" s="1902"/>
      <c r="AA978" s="1902"/>
      <c r="AB978" s="1901"/>
      <c r="AC978" s="1900"/>
      <c r="AD978" s="1899"/>
      <c r="AE978" s="1899"/>
      <c r="AF978" s="1898"/>
      <c r="AI978" s="1735" t="str">
        <f>"55:shoguukaizen_code:"&amp;IF(I978="■",1,IF(L978="■",7,IF(O978="■",8,IF(R978="■",9,IF(U978="■","A",0)))))</f>
        <v>55:shoguukaizen_code:0</v>
      </c>
    </row>
    <row r="979" spans="1:36" s="1735" customFormat="1" ht="18.75" hidden="1" customHeight="1">
      <c r="A979" s="1807"/>
      <c r="B979" s="1806"/>
      <c r="C979" s="1934"/>
      <c r="D979" s="1933"/>
      <c r="E979" s="1804"/>
      <c r="F979" s="1803"/>
      <c r="G979" s="1804"/>
      <c r="H979" s="1885" t="s">
        <v>746</v>
      </c>
      <c r="I979" s="1873" t="s">
        <v>194</v>
      </c>
      <c r="J979" s="1872" t="s">
        <v>747</v>
      </c>
      <c r="K979" s="1932"/>
      <c r="L979" s="1930"/>
      <c r="M979" s="1931" t="s">
        <v>194</v>
      </c>
      <c r="N979" s="1872" t="s">
        <v>1572</v>
      </c>
      <c r="O979" s="1930"/>
      <c r="P979" s="1930"/>
      <c r="Q979" s="1931" t="s">
        <v>194</v>
      </c>
      <c r="R979" s="1872" t="s">
        <v>1571</v>
      </c>
      <c r="S979" s="1930"/>
      <c r="T979" s="1930"/>
      <c r="U979" s="1931" t="s">
        <v>194</v>
      </c>
      <c r="V979" s="1872" t="s">
        <v>1570</v>
      </c>
      <c r="W979" s="1930"/>
      <c r="X979" s="1886"/>
      <c r="Y979" s="1873" t="s">
        <v>194</v>
      </c>
      <c r="Z979" s="1872" t="s">
        <v>749</v>
      </c>
      <c r="AA979" s="1872"/>
      <c r="AB979" s="1929"/>
      <c r="AC979" s="1928"/>
      <c r="AD979" s="1927"/>
      <c r="AE979" s="1927"/>
      <c r="AF979" s="1926"/>
      <c r="AG979" s="1735" t="str">
        <f>"ser_code = '" &amp; IF(A996="■",55,"") &amp; "'"</f>
        <v>ser_code = ''</v>
      </c>
      <c r="AI979" s="1735" t="str">
        <f>"55:yakan_kinmu_code:" &amp; IF(I979="■",1,IF(M979="■",2,IF(Q979="■",3,IF(U979="■",7,IF(I980="■",5,IF(M980="■",6,0))))))</f>
        <v>55:yakan_kinmu_code:0</v>
      </c>
      <c r="AJ979" s="1735" t="str">
        <f>"55:field203:" &amp; IF(Y979="■",1,IF(Y980="■",2,0))</f>
        <v>55:field203:0</v>
      </c>
    </row>
    <row r="980" spans="1:36" s="1735" customFormat="1" ht="18.75" hidden="1" customHeight="1">
      <c r="A980" s="1766"/>
      <c r="B980" s="1765"/>
      <c r="C980" s="1916"/>
      <c r="D980" s="1915"/>
      <c r="E980" s="1762"/>
      <c r="F980" s="1761"/>
      <c r="G980" s="1762"/>
      <c r="H980" s="1921"/>
      <c r="I980" s="1758" t="s">
        <v>194</v>
      </c>
      <c r="J980" s="1756" t="s">
        <v>1569</v>
      </c>
      <c r="K980" s="1755"/>
      <c r="L980" s="1780"/>
      <c r="M980" s="1757" t="s">
        <v>194</v>
      </c>
      <c r="N980" s="1756" t="s">
        <v>748</v>
      </c>
      <c r="O980" s="1780"/>
      <c r="P980" s="1780"/>
      <c r="Q980" s="1780"/>
      <c r="R980" s="1780"/>
      <c r="S980" s="1780"/>
      <c r="T980" s="1780"/>
      <c r="U980" s="1780"/>
      <c r="V980" s="1780"/>
      <c r="W980" s="1780"/>
      <c r="X980" s="1779"/>
      <c r="Y980" s="1776" t="s">
        <v>194</v>
      </c>
      <c r="Z980" s="1738" t="s">
        <v>754</v>
      </c>
      <c r="AA980" s="1913"/>
      <c r="AB980" s="1794"/>
      <c r="AC980" s="1912"/>
      <c r="AD980" s="1911"/>
      <c r="AE980" s="1911"/>
      <c r="AF980" s="1910"/>
      <c r="AG980" s="1735" t="str">
        <f>"55:sisetukbn_code:" &amp; IF(D996="■",5,0)</f>
        <v>55:sisetukbn_code:0</v>
      </c>
    </row>
    <row r="981" spans="1:36" s="1735" customFormat="1" ht="18.75" hidden="1" customHeight="1">
      <c r="A981" s="1766"/>
      <c r="B981" s="1765"/>
      <c r="C981" s="1916"/>
      <c r="D981" s="1915"/>
      <c r="E981" s="1762"/>
      <c r="F981" s="1761"/>
      <c r="G981" s="1762"/>
      <c r="H981" s="1925" t="s">
        <v>98</v>
      </c>
      <c r="I981" s="1924" t="s">
        <v>194</v>
      </c>
      <c r="J981" s="1923" t="s">
        <v>750</v>
      </c>
      <c r="K981" s="1923"/>
      <c r="L981" s="1785"/>
      <c r="M981" s="1922" t="s">
        <v>194</v>
      </c>
      <c r="N981" s="1923" t="s">
        <v>1568</v>
      </c>
      <c r="O981" s="1923"/>
      <c r="P981" s="1785"/>
      <c r="Q981" s="1922" t="s">
        <v>194</v>
      </c>
      <c r="R981" s="1785" t="s">
        <v>1567</v>
      </c>
      <c r="S981" s="1785"/>
      <c r="T981" s="1785"/>
      <c r="U981" s="1922" t="s">
        <v>194</v>
      </c>
      <c r="V981" s="1785" t="s">
        <v>1566</v>
      </c>
      <c r="W981" s="1829"/>
      <c r="X981" s="1828"/>
      <c r="Y981" s="1914"/>
      <c r="Z981" s="1913"/>
      <c r="AA981" s="1913"/>
      <c r="AB981" s="1794"/>
      <c r="AC981" s="1912"/>
      <c r="AD981" s="1911"/>
      <c r="AE981" s="1911"/>
      <c r="AF981" s="1910"/>
      <c r="AI981" s="1735" t="str">
        <f>"55:"&amp;IF(AND(I981="□",M981="□",Q981="□",U981="□",I982="□",M982="□"),"ketu_doctor_code:0",IF(I981="■","ketu_doctor_code:1:field197:1:ketu_kangos_code:1:ketu_kshoku_code:1:ketu_ksiensou_code:1",IF(M981="■","ketu_doctor_code:2","ketu_doctor_code:1")
&amp;IF(Q981="■",":field197:2",":field197:1")
&amp;IF(U981="■",":ketu_kangos_code:2",":ketu_kangos_code:1")
&amp;IF(I982="■",":ketu_kshoku_code:2",":ketu_kshoku_code:1")
&amp;IF(M982="■",":ketu_ksiensou_code:2",":ketu_ksiensou_code:1")))</f>
        <v>55:ketu_doctor_code:0</v>
      </c>
    </row>
    <row r="982" spans="1:36" s="1735" customFormat="1" ht="18.75" hidden="1" customHeight="1">
      <c r="A982" s="1766"/>
      <c r="B982" s="1765"/>
      <c r="C982" s="1916"/>
      <c r="D982" s="1915"/>
      <c r="E982" s="1762"/>
      <c r="F982" s="1761"/>
      <c r="G982" s="1762"/>
      <c r="H982" s="1921"/>
      <c r="I982" s="1758" t="s">
        <v>194</v>
      </c>
      <c r="J982" s="1780" t="s">
        <v>1565</v>
      </c>
      <c r="K982" s="1756"/>
      <c r="L982" s="1780"/>
      <c r="M982" s="1757" t="s">
        <v>194</v>
      </c>
      <c r="N982" s="1756" t="s">
        <v>1564</v>
      </c>
      <c r="O982" s="1756"/>
      <c r="P982" s="1780"/>
      <c r="Q982" s="1780"/>
      <c r="R982" s="1780"/>
      <c r="S982" s="1780"/>
      <c r="T982" s="1780"/>
      <c r="U982" s="1780"/>
      <c r="V982" s="1780"/>
      <c r="W982" s="1827"/>
      <c r="X982" s="1826"/>
      <c r="Y982" s="1914"/>
      <c r="Z982" s="1913"/>
      <c r="AA982" s="1913"/>
      <c r="AB982" s="1794"/>
      <c r="AC982" s="1912"/>
      <c r="AD982" s="1911"/>
      <c r="AE982" s="1911"/>
      <c r="AF982" s="1910"/>
    </row>
    <row r="983" spans="1:36" s="1735" customFormat="1" ht="18.75" hidden="1" customHeight="1">
      <c r="A983" s="1766"/>
      <c r="B983" s="1765"/>
      <c r="C983" s="1916"/>
      <c r="D983" s="1915"/>
      <c r="E983" s="1762"/>
      <c r="F983" s="1761"/>
      <c r="G983" s="1762"/>
      <c r="H983" s="1769" t="s">
        <v>99</v>
      </c>
      <c r="I983" s="1773" t="s">
        <v>194</v>
      </c>
      <c r="J983" s="1754" t="s">
        <v>755</v>
      </c>
      <c r="K983" s="1789"/>
      <c r="L983" s="1791"/>
      <c r="M983" s="1772" t="s">
        <v>194</v>
      </c>
      <c r="N983" s="1754" t="s">
        <v>756</v>
      </c>
      <c r="O983" s="1789"/>
      <c r="P983" s="1789"/>
      <c r="Q983" s="1771"/>
      <c r="R983" s="1771"/>
      <c r="S983" s="1771"/>
      <c r="T983" s="1771"/>
      <c r="U983" s="1771"/>
      <c r="V983" s="1771"/>
      <c r="W983" s="1771"/>
      <c r="X983" s="1770"/>
      <c r="Y983" s="1914"/>
      <c r="Z983" s="1913"/>
      <c r="AA983" s="1913"/>
      <c r="AB983" s="1794"/>
      <c r="AC983" s="1912"/>
      <c r="AD983" s="1911"/>
      <c r="AE983" s="1911"/>
      <c r="AF983" s="1910"/>
      <c r="AI983" s="1735" t="str">
        <f>"55:unitcare_code:" &amp; IF(I983="■",1,IF(M983="■",2,0))</f>
        <v>55:unitcare_code:0</v>
      </c>
    </row>
    <row r="984" spans="1:36" s="1735" customFormat="1" ht="18.75" hidden="1" customHeight="1">
      <c r="A984" s="1766"/>
      <c r="B984" s="1765"/>
      <c r="C984" s="1916"/>
      <c r="D984" s="1915"/>
      <c r="E984" s="1762"/>
      <c r="F984" s="1761"/>
      <c r="G984" s="1762"/>
      <c r="H984" s="1769" t="s">
        <v>757</v>
      </c>
      <c r="I984" s="1773" t="s">
        <v>194</v>
      </c>
      <c r="J984" s="1754" t="s">
        <v>758</v>
      </c>
      <c r="K984" s="1789"/>
      <c r="L984" s="1791"/>
      <c r="M984" s="1772" t="s">
        <v>194</v>
      </c>
      <c r="N984" s="1754" t="s">
        <v>759</v>
      </c>
      <c r="O984" s="1768"/>
      <c r="P984" s="1789"/>
      <c r="Q984" s="1771"/>
      <c r="R984" s="1771"/>
      <c r="S984" s="1771"/>
      <c r="T984" s="1771"/>
      <c r="U984" s="1771"/>
      <c r="V984" s="1771"/>
      <c r="W984" s="1771"/>
      <c r="X984" s="1770"/>
      <c r="Y984" s="1914"/>
      <c r="Z984" s="1913"/>
      <c r="AA984" s="1913"/>
      <c r="AB984" s="1794"/>
      <c r="AC984" s="1912"/>
      <c r="AD984" s="1911"/>
      <c r="AE984" s="1911"/>
      <c r="AF984" s="1910"/>
      <c r="AI984" s="1735" t="str">
        <f>"55:sintaikousoku_code:" &amp; IF(I984="■",1,IF(M984="■",2,0))</f>
        <v>55:sintaikousoku_code:0</v>
      </c>
    </row>
    <row r="985" spans="1:36" s="1735" customFormat="1" ht="18.75" hidden="1" customHeight="1">
      <c r="A985" s="1766"/>
      <c r="B985" s="1765"/>
      <c r="C985" s="1916"/>
      <c r="D985" s="1915"/>
      <c r="E985" s="1762"/>
      <c r="F985" s="1761"/>
      <c r="G985" s="1762"/>
      <c r="H985" s="1769" t="s">
        <v>448</v>
      </c>
      <c r="I985" s="1773" t="s">
        <v>194</v>
      </c>
      <c r="J985" s="1754" t="s">
        <v>758</v>
      </c>
      <c r="K985" s="1789"/>
      <c r="L985" s="1791"/>
      <c r="M985" s="1772" t="s">
        <v>194</v>
      </c>
      <c r="N985" s="1754" t="s">
        <v>759</v>
      </c>
      <c r="O985" s="1768"/>
      <c r="P985" s="1789"/>
      <c r="Q985" s="1768"/>
      <c r="R985" s="1768"/>
      <c r="S985" s="1768"/>
      <c r="T985" s="1768"/>
      <c r="U985" s="1768"/>
      <c r="V985" s="1768"/>
      <c r="W985" s="1768"/>
      <c r="X985" s="1767"/>
      <c r="Y985" s="1914"/>
      <c r="Z985" s="1913"/>
      <c r="AA985" s="1913"/>
      <c r="AB985" s="1794"/>
      <c r="AC985" s="1912"/>
      <c r="AD985" s="1911"/>
      <c r="AE985" s="1911"/>
      <c r="AF985" s="1910"/>
      <c r="AI985" s="1735" t="str">
        <f>"55:field208:" &amp; IF(I985="■",1,IF(M985="■",2,0))</f>
        <v>55:field208:0</v>
      </c>
    </row>
    <row r="986" spans="1:36" s="1735" customFormat="1" ht="19.5" hidden="1" customHeight="1">
      <c r="A986" s="1766"/>
      <c r="B986" s="1765"/>
      <c r="C986" s="1764"/>
      <c r="D986" s="1763"/>
      <c r="E986" s="1762"/>
      <c r="F986" s="1761"/>
      <c r="G986" s="1793"/>
      <c r="H986" s="1792" t="s">
        <v>760</v>
      </c>
      <c r="I986" s="1773" t="s">
        <v>194</v>
      </c>
      <c r="J986" s="1754" t="s">
        <v>758</v>
      </c>
      <c r="K986" s="1789"/>
      <c r="L986" s="1791"/>
      <c r="M986" s="1772" t="s">
        <v>194</v>
      </c>
      <c r="N986" s="1754" t="s">
        <v>761</v>
      </c>
      <c r="O986" s="1920"/>
      <c r="P986" s="1754"/>
      <c r="Q986" s="1768"/>
      <c r="R986" s="1768"/>
      <c r="S986" s="1768"/>
      <c r="T986" s="1768"/>
      <c r="U986" s="1768"/>
      <c r="V986" s="1768"/>
      <c r="W986" s="1768"/>
      <c r="X986" s="1767"/>
      <c r="Y986" s="1913"/>
      <c r="Z986" s="1913"/>
      <c r="AA986" s="1913"/>
      <c r="AB986" s="1794"/>
      <c r="AC986" s="1912"/>
      <c r="AD986" s="1911"/>
      <c r="AE986" s="1911"/>
      <c r="AF986" s="1910"/>
      <c r="AI986" s="1735" t="str">
        <f>"55:field223:" &amp; IF(I986="■",1,IF(M986="■",2,0))</f>
        <v>55:field223:0</v>
      </c>
    </row>
    <row r="987" spans="1:36" s="1735" customFormat="1" ht="19.5" hidden="1" customHeight="1">
      <c r="A987" s="1766"/>
      <c r="B987" s="1765"/>
      <c r="C987" s="1764"/>
      <c r="D987" s="1763"/>
      <c r="E987" s="1762"/>
      <c r="F987" s="1761"/>
      <c r="G987" s="1793"/>
      <c r="H987" s="1792" t="s">
        <v>762</v>
      </c>
      <c r="I987" s="1773" t="s">
        <v>194</v>
      </c>
      <c r="J987" s="1754" t="s">
        <v>758</v>
      </c>
      <c r="K987" s="1789"/>
      <c r="L987" s="1791"/>
      <c r="M987" s="1772" t="s">
        <v>194</v>
      </c>
      <c r="N987" s="1754" t="s">
        <v>761</v>
      </c>
      <c r="O987" s="1920"/>
      <c r="P987" s="1754"/>
      <c r="Q987" s="1768"/>
      <c r="R987" s="1768"/>
      <c r="S987" s="1768"/>
      <c r="T987" s="1768"/>
      <c r="U987" s="1768"/>
      <c r="V987" s="1768"/>
      <c r="W987" s="1768"/>
      <c r="X987" s="1767"/>
      <c r="Y987" s="1913"/>
      <c r="Z987" s="1913"/>
      <c r="AA987" s="1913"/>
      <c r="AB987" s="1794"/>
      <c r="AC987" s="1912"/>
      <c r="AD987" s="1911"/>
      <c r="AE987" s="1911"/>
      <c r="AF987" s="1910"/>
      <c r="AI987" s="1735" t="str">
        <f>"55:field232:" &amp; IF(I987="■",1,IF(M987="■",2,0))</f>
        <v>55:field232:0</v>
      </c>
    </row>
    <row r="988" spans="1:36" s="1735" customFormat="1" ht="18.75" hidden="1" customHeight="1">
      <c r="A988" s="1766"/>
      <c r="B988" s="1765"/>
      <c r="C988" s="1916"/>
      <c r="D988" s="1915"/>
      <c r="E988" s="1762"/>
      <c r="F988" s="1761"/>
      <c r="G988" s="1762"/>
      <c r="H988" s="1788" t="s">
        <v>763</v>
      </c>
      <c r="I988" s="1868" t="s">
        <v>194</v>
      </c>
      <c r="J988" s="1830" t="s">
        <v>750</v>
      </c>
      <c r="K988" s="1830"/>
      <c r="L988" s="1919" t="s">
        <v>194</v>
      </c>
      <c r="M988" s="1830" t="s">
        <v>764</v>
      </c>
      <c r="N988" s="1830"/>
      <c r="O988" s="1785"/>
      <c r="P988" s="1785"/>
      <c r="Q988" s="1785"/>
      <c r="R988" s="1785"/>
      <c r="S988" s="1785"/>
      <c r="T988" s="1785"/>
      <c r="U988" s="1785"/>
      <c r="V988" s="1785"/>
      <c r="W988" s="1785"/>
      <c r="X988" s="1784"/>
      <c r="Y988" s="1914"/>
      <c r="Z988" s="1913"/>
      <c r="AA988" s="1913"/>
      <c r="AB988" s="1794"/>
      <c r="AC988" s="1912"/>
      <c r="AD988" s="1911"/>
      <c r="AE988" s="1911"/>
      <c r="AF988" s="1910"/>
      <c r="AI988" s="1735" t="str">
        <f>"55:field206:" &amp; IF(I988="■",1,IF(L988="■",2,0))</f>
        <v>55:field206:0</v>
      </c>
    </row>
    <row r="989" spans="1:36" s="1735" customFormat="1" ht="18.75" hidden="1" customHeight="1">
      <c r="A989" s="1766"/>
      <c r="B989" s="1765"/>
      <c r="C989" s="1916"/>
      <c r="D989" s="1915"/>
      <c r="E989" s="1762"/>
      <c r="F989" s="1761"/>
      <c r="G989" s="1762"/>
      <c r="H989" s="1783"/>
      <c r="I989" s="1819"/>
      <c r="J989" s="1781"/>
      <c r="K989" s="1781"/>
      <c r="L989" s="1818"/>
      <c r="M989" s="1781"/>
      <c r="N989" s="1781"/>
      <c r="O989" s="1780"/>
      <c r="P989" s="1780"/>
      <c r="Q989" s="1780"/>
      <c r="R989" s="1780"/>
      <c r="S989" s="1780"/>
      <c r="T989" s="1780"/>
      <c r="U989" s="1780"/>
      <c r="V989" s="1780"/>
      <c r="W989" s="1780"/>
      <c r="X989" s="1779"/>
      <c r="Y989" s="1914"/>
      <c r="Z989" s="1913"/>
      <c r="AA989" s="1913"/>
      <c r="AB989" s="1794"/>
      <c r="AC989" s="1912"/>
      <c r="AD989" s="1911"/>
      <c r="AE989" s="1911"/>
      <c r="AF989" s="1910"/>
    </row>
    <row r="990" spans="1:36" s="1735" customFormat="1" ht="18.75" hidden="1" customHeight="1">
      <c r="A990" s="1766"/>
      <c r="B990" s="1765"/>
      <c r="C990" s="1916"/>
      <c r="D990" s="1915"/>
      <c r="E990" s="1762"/>
      <c r="F990" s="1761"/>
      <c r="G990" s="1762"/>
      <c r="H990" s="1769" t="s">
        <v>1560</v>
      </c>
      <c r="I990" s="1773" t="s">
        <v>194</v>
      </c>
      <c r="J990" s="1754" t="s">
        <v>1557</v>
      </c>
      <c r="K990" s="1789"/>
      <c r="L990" s="1791"/>
      <c r="M990" s="1772" t="s">
        <v>194</v>
      </c>
      <c r="N990" s="1754" t="s">
        <v>1556</v>
      </c>
      <c r="O990" s="1768"/>
      <c r="P990" s="1771"/>
      <c r="Q990" s="1771"/>
      <c r="R990" s="1771"/>
      <c r="S990" s="1771"/>
      <c r="T990" s="1771"/>
      <c r="U990" s="1771"/>
      <c r="V990" s="1771"/>
      <c r="W990" s="1771"/>
      <c r="X990" s="1770"/>
      <c r="Y990" s="1914"/>
      <c r="Z990" s="1913"/>
      <c r="AA990" s="1913"/>
      <c r="AB990" s="1794"/>
      <c r="AC990" s="1912"/>
      <c r="AD990" s="1911"/>
      <c r="AE990" s="1911"/>
      <c r="AF990" s="1910"/>
      <c r="AI990" s="1735" t="str">
        <f>"55:field190:" &amp; IF(I990="■",1,IF(M990="■",2,0))</f>
        <v>55:field190:0</v>
      </c>
    </row>
    <row r="991" spans="1:36" s="1735" customFormat="1" ht="18.75" hidden="1" customHeight="1">
      <c r="A991" s="1766"/>
      <c r="B991" s="1765"/>
      <c r="C991" s="1916"/>
      <c r="D991" s="1915"/>
      <c r="E991" s="1762"/>
      <c r="F991" s="1761"/>
      <c r="G991" s="1762"/>
      <c r="H991" s="1769" t="s">
        <v>1558</v>
      </c>
      <c r="I991" s="1773" t="s">
        <v>194</v>
      </c>
      <c r="J991" s="1754" t="s">
        <v>1557</v>
      </c>
      <c r="K991" s="1789"/>
      <c r="L991" s="1791"/>
      <c r="M991" s="1772" t="s">
        <v>194</v>
      </c>
      <c r="N991" s="1754" t="s">
        <v>1556</v>
      </c>
      <c r="O991" s="1768"/>
      <c r="P991" s="1771"/>
      <c r="Q991" s="1771"/>
      <c r="R991" s="1771"/>
      <c r="S991" s="1771"/>
      <c r="T991" s="1771"/>
      <c r="U991" s="1771"/>
      <c r="V991" s="1771"/>
      <c r="W991" s="1771"/>
      <c r="X991" s="1770"/>
      <c r="Y991" s="1914"/>
      <c r="Z991" s="1913"/>
      <c r="AA991" s="1913"/>
      <c r="AB991" s="1794"/>
      <c r="AC991" s="1912"/>
      <c r="AD991" s="1911"/>
      <c r="AE991" s="1911"/>
      <c r="AF991" s="1910"/>
      <c r="AI991" s="1735" t="str">
        <f>"55:field191:" &amp; IF(I991="■",1,IF(M991="■",2,0))</f>
        <v>55:field191:0</v>
      </c>
    </row>
    <row r="992" spans="1:36" s="1735" customFormat="1" ht="18.75" hidden="1" customHeight="1">
      <c r="A992" s="1766"/>
      <c r="B992" s="1765"/>
      <c r="C992" s="1916"/>
      <c r="D992" s="1915"/>
      <c r="E992" s="1762"/>
      <c r="F992" s="1761"/>
      <c r="G992" s="1762"/>
      <c r="H992" s="1769" t="s">
        <v>1555</v>
      </c>
      <c r="I992" s="1758" t="s">
        <v>194</v>
      </c>
      <c r="J992" s="1756" t="s">
        <v>750</v>
      </c>
      <c r="K992" s="1755"/>
      <c r="L992" s="1757" t="s">
        <v>194</v>
      </c>
      <c r="M992" s="1756" t="s">
        <v>764</v>
      </c>
      <c r="N992" s="1789"/>
      <c r="O992" s="1771"/>
      <c r="P992" s="1771"/>
      <c r="Q992" s="1771"/>
      <c r="R992" s="1771"/>
      <c r="S992" s="1771"/>
      <c r="T992" s="1771"/>
      <c r="U992" s="1771"/>
      <c r="V992" s="1771"/>
      <c r="W992" s="1771"/>
      <c r="X992" s="1770"/>
      <c r="Y992" s="1914"/>
      <c r="Z992" s="1913"/>
      <c r="AA992" s="1913"/>
      <c r="AB992" s="1794"/>
      <c r="AC992" s="1912"/>
      <c r="AD992" s="1911"/>
      <c r="AE992" s="1911"/>
      <c r="AF992" s="1910"/>
      <c r="AI992" s="1735" t="str">
        <f>"55:jyakuninti_uke_code:" &amp; IF(I992="■",1,IF(L992="■",2,0))</f>
        <v>55:jyakuninti_uke_code:0</v>
      </c>
    </row>
    <row r="993" spans="1:35" s="1735" customFormat="1" ht="18.75" hidden="1" customHeight="1">
      <c r="A993" s="1766"/>
      <c r="B993" s="1765"/>
      <c r="C993" s="1916"/>
      <c r="D993" s="1915"/>
      <c r="E993" s="1762"/>
      <c r="F993" s="1761"/>
      <c r="G993" s="1762"/>
      <c r="H993" s="1769" t="s">
        <v>786</v>
      </c>
      <c r="I993" s="1758" t="s">
        <v>194</v>
      </c>
      <c r="J993" s="1756" t="s">
        <v>750</v>
      </c>
      <c r="K993" s="1755"/>
      <c r="L993" s="1757" t="s">
        <v>194</v>
      </c>
      <c r="M993" s="1756" t="s">
        <v>764</v>
      </c>
      <c r="N993" s="1789"/>
      <c r="O993" s="1771"/>
      <c r="P993" s="1771"/>
      <c r="Q993" s="1771"/>
      <c r="R993" s="1771"/>
      <c r="S993" s="1771"/>
      <c r="T993" s="1771"/>
      <c r="U993" s="1771"/>
      <c r="V993" s="1771"/>
      <c r="W993" s="1771"/>
      <c r="X993" s="1770"/>
      <c r="Y993" s="1914"/>
      <c r="Z993" s="1913"/>
      <c r="AA993" s="1913"/>
      <c r="AB993" s="1794"/>
      <c r="AC993" s="1912"/>
      <c r="AD993" s="1911"/>
      <c r="AE993" s="1911"/>
      <c r="AF993" s="1910"/>
      <c r="AI993" s="1735" t="str">
        <f>"55:field207:" &amp; IF(I993="■",1,IF(L993="■",2,0))</f>
        <v>55:field207:0</v>
      </c>
    </row>
    <row r="994" spans="1:35" s="1735" customFormat="1" ht="18.75" hidden="1" customHeight="1">
      <c r="A994" s="1766"/>
      <c r="B994" s="1765"/>
      <c r="C994" s="1916"/>
      <c r="D994" s="1915"/>
      <c r="E994" s="1762"/>
      <c r="F994" s="1761"/>
      <c r="G994" s="1762"/>
      <c r="H994" s="1769" t="s">
        <v>787</v>
      </c>
      <c r="I994" s="1758" t="s">
        <v>194</v>
      </c>
      <c r="J994" s="1756" t="s">
        <v>750</v>
      </c>
      <c r="K994" s="1755"/>
      <c r="L994" s="1757" t="s">
        <v>194</v>
      </c>
      <c r="M994" s="1756" t="s">
        <v>764</v>
      </c>
      <c r="N994" s="1789"/>
      <c r="O994" s="1771"/>
      <c r="P994" s="1771"/>
      <c r="Q994" s="1771"/>
      <c r="R994" s="1771"/>
      <c r="S994" s="1771"/>
      <c r="T994" s="1771"/>
      <c r="U994" s="1771"/>
      <c r="V994" s="1771"/>
      <c r="W994" s="1771"/>
      <c r="X994" s="1770"/>
      <c r="Y994" s="1914"/>
      <c r="Z994" s="1913"/>
      <c r="AA994" s="1913"/>
      <c r="AB994" s="1794"/>
      <c r="AC994" s="1912"/>
      <c r="AD994" s="1911"/>
      <c r="AE994" s="1911"/>
      <c r="AF994" s="1910"/>
      <c r="AI994" s="1735" t="str">
        <f>"55:ryouyoushoku_code:" &amp; IF(I994="■",1,IF(L994="■",2,0))</f>
        <v>55:ryouyoushoku_code:0</v>
      </c>
    </row>
    <row r="995" spans="1:35" s="1735" customFormat="1" ht="18.75" hidden="1" customHeight="1">
      <c r="A995" s="1766"/>
      <c r="B995" s="1765"/>
      <c r="C995" s="1916"/>
      <c r="D995" s="1915"/>
      <c r="E995" s="1762"/>
      <c r="F995" s="1761"/>
      <c r="G995" s="1762"/>
      <c r="H995" s="1925" t="s">
        <v>1590</v>
      </c>
      <c r="I995" s="1924" t="s">
        <v>194</v>
      </c>
      <c r="J995" s="1923" t="s">
        <v>1589</v>
      </c>
      <c r="K995" s="1923"/>
      <c r="L995" s="1829"/>
      <c r="M995" s="1829"/>
      <c r="N995" s="1829"/>
      <c r="O995" s="1829"/>
      <c r="P995" s="1922" t="s">
        <v>194</v>
      </c>
      <c r="Q995" s="1923" t="s">
        <v>1588</v>
      </c>
      <c r="R995" s="1829"/>
      <c r="S995" s="1829"/>
      <c r="T995" s="1829"/>
      <c r="U995" s="1829"/>
      <c r="V995" s="1829"/>
      <c r="W995" s="1829"/>
      <c r="X995" s="1828"/>
      <c r="Y995" s="1914"/>
      <c r="Z995" s="1913"/>
      <c r="AA995" s="1913"/>
      <c r="AB995" s="1794"/>
      <c r="AC995" s="1912"/>
      <c r="AD995" s="1911"/>
      <c r="AE995" s="1911"/>
      <c r="AF995" s="1910"/>
      <c r="AI995" s="1735" t="str">
        <f>"55:" &amp; IF(AND(I995="□",P995="□",I996="□"),"tokusin_jyusho_code:0:tokusin_yakuzai_code:0:shuudan_comu_code:0",IF(I995="■","tokusin_jyusho_code:2","tokusin_jyusho_code:1")
&amp;IF(P995="■",":tokusin_yakuzai_code:2",":tokusin_yakuzai_code:1")
&amp;IF(I996="■",":shuudan_comu_code:2",":shuudan_comu_code:1"))</f>
        <v>55:tokusin_jyusho_code:0:tokusin_yakuzai_code:0:shuudan_comu_code:0</v>
      </c>
    </row>
    <row r="996" spans="1:35" s="1735" customFormat="1" ht="18.75" hidden="1" customHeight="1">
      <c r="A996" s="1776" t="s">
        <v>194</v>
      </c>
      <c r="B996" s="1765">
        <v>55</v>
      </c>
      <c r="C996" s="1916" t="s">
        <v>1587</v>
      </c>
      <c r="D996" s="1776" t="s">
        <v>194</v>
      </c>
      <c r="E996" s="1762" t="s">
        <v>1586</v>
      </c>
      <c r="F996" s="1761"/>
      <c r="G996" s="1762"/>
      <c r="H996" s="1921"/>
      <c r="I996" s="1758" t="s">
        <v>194</v>
      </c>
      <c r="J996" s="1756" t="s">
        <v>1585</v>
      </c>
      <c r="K996" s="1827"/>
      <c r="L996" s="1827"/>
      <c r="M996" s="1827"/>
      <c r="N996" s="1827"/>
      <c r="O996" s="1827"/>
      <c r="P996" s="1827"/>
      <c r="Q996" s="1780"/>
      <c r="R996" s="1827"/>
      <c r="S996" s="1827"/>
      <c r="T996" s="1827"/>
      <c r="U996" s="1827"/>
      <c r="V996" s="1827"/>
      <c r="W996" s="1827"/>
      <c r="X996" s="1826"/>
      <c r="Y996" s="1914"/>
      <c r="Z996" s="1913"/>
      <c r="AA996" s="1913"/>
      <c r="AB996" s="1794"/>
      <c r="AC996" s="1912"/>
      <c r="AD996" s="1911"/>
      <c r="AE996" s="1911"/>
      <c r="AF996" s="1910"/>
    </row>
    <row r="997" spans="1:35" s="1735" customFormat="1" ht="18.75" hidden="1" customHeight="1">
      <c r="A997" s="1766"/>
      <c r="B997" s="1765"/>
      <c r="C997" s="1916"/>
      <c r="D997" s="1915"/>
      <c r="E997" s="1762"/>
      <c r="F997" s="1761"/>
      <c r="G997" s="1762"/>
      <c r="H997" s="1925" t="s">
        <v>1584</v>
      </c>
      <c r="I997" s="1924" t="s">
        <v>194</v>
      </c>
      <c r="J997" s="1923" t="s">
        <v>1583</v>
      </c>
      <c r="K997" s="1938"/>
      <c r="L997" s="1937"/>
      <c r="M997" s="1922" t="s">
        <v>194</v>
      </c>
      <c r="N997" s="1923" t="s">
        <v>1582</v>
      </c>
      <c r="O997" s="1829"/>
      <c r="P997" s="1829"/>
      <c r="Q997" s="1922" t="s">
        <v>194</v>
      </c>
      <c r="R997" s="1923" t="s">
        <v>1581</v>
      </c>
      <c r="S997" s="1829"/>
      <c r="T997" s="1829"/>
      <c r="U997" s="1829"/>
      <c r="V997" s="1829"/>
      <c r="W997" s="1829"/>
      <c r="X997" s="1828"/>
      <c r="Y997" s="1914"/>
      <c r="Z997" s="1913"/>
      <c r="AA997" s="1913"/>
      <c r="AB997" s="1794"/>
      <c r="AC997" s="1912"/>
      <c r="AD997" s="1911"/>
      <c r="AE997" s="1911"/>
      <c r="AF997" s="1910"/>
      <c r="AI997" s="1735" t="str">
        <f>"55:"&amp;IF(AND(I997="□",M997="□",Q997="□",I998="□",Q998="□"),"koriha_rryoho1_code:0:koriha_sryoho_code:0:koriha_gengo_code:0:riha_seisin_code:0:koriha_other_code:0",IF(I997="■","koriha_rryoho1_code:2","koriha_rryoho1_code:1")
&amp;IF(M997="■",":koriha_sryoho_code:2",":koriha_sryoho_code:1")
&amp;IF(Q997="■",":koriha_gengo_code:2",":koriha_gengo_code:1")
&amp;IF(I998="■",":riha_seisin_code:2",":riha_seisin_code:1")
&amp;IF(Q998="■",":koriha_other_code:2",":koriha_other_code:1"))</f>
        <v>55:koriha_rryoho1_code:0:koriha_sryoho_code:0:koriha_gengo_code:0:riha_seisin_code:0:koriha_other_code:0</v>
      </c>
    </row>
    <row r="998" spans="1:35" s="1735" customFormat="1" ht="18.75" hidden="1" customHeight="1">
      <c r="A998" s="1766"/>
      <c r="B998" s="1765"/>
      <c r="C998" s="1916"/>
      <c r="D998" s="1766"/>
      <c r="E998" s="1762"/>
      <c r="F998" s="1761"/>
      <c r="G998" s="1762"/>
      <c r="H998" s="1921"/>
      <c r="I998" s="1758" t="s">
        <v>194</v>
      </c>
      <c r="J998" s="1756" t="s">
        <v>1580</v>
      </c>
      <c r="K998" s="1827"/>
      <c r="L998" s="1827"/>
      <c r="M998" s="1827"/>
      <c r="N998" s="1827"/>
      <c r="O998" s="1827"/>
      <c r="P998" s="1827"/>
      <c r="Q998" s="1757" t="s">
        <v>194</v>
      </c>
      <c r="R998" s="1756" t="s">
        <v>1579</v>
      </c>
      <c r="S998" s="1780"/>
      <c r="T998" s="1827"/>
      <c r="U998" s="1827"/>
      <c r="V998" s="1827"/>
      <c r="W998" s="1827"/>
      <c r="X998" s="1826"/>
      <c r="Y998" s="1914"/>
      <c r="Z998" s="1913"/>
      <c r="AA998" s="1913"/>
      <c r="AB998" s="1794"/>
      <c r="AC998" s="1912"/>
      <c r="AD998" s="1911"/>
      <c r="AE998" s="1911"/>
      <c r="AF998" s="1910"/>
    </row>
    <row r="999" spans="1:35" s="1735" customFormat="1" ht="18.75" hidden="1" customHeight="1">
      <c r="A999" s="1766"/>
      <c r="B999" s="1765"/>
      <c r="C999" s="1916"/>
      <c r="D999" s="1915"/>
      <c r="E999" s="1762"/>
      <c r="F999" s="1761"/>
      <c r="G999" s="1762"/>
      <c r="H999" s="1788" t="s">
        <v>1578</v>
      </c>
      <c r="I999" s="1868" t="s">
        <v>194</v>
      </c>
      <c r="J999" s="1830" t="s">
        <v>750</v>
      </c>
      <c r="K999" s="1830"/>
      <c r="L999" s="1919" t="s">
        <v>194</v>
      </c>
      <c r="M999" s="1830" t="s">
        <v>1577</v>
      </c>
      <c r="N999" s="1830"/>
      <c r="O999" s="1830"/>
      <c r="P999" s="1919" t="s">
        <v>194</v>
      </c>
      <c r="Q999" s="1830" t="s">
        <v>1576</v>
      </c>
      <c r="R999" s="1830"/>
      <c r="S999" s="1830"/>
      <c r="T999" s="1919" t="s">
        <v>194</v>
      </c>
      <c r="U999" s="1830" t="s">
        <v>1575</v>
      </c>
      <c r="V999" s="1830"/>
      <c r="W999" s="1830"/>
      <c r="X999" s="1936"/>
      <c r="Y999" s="1914"/>
      <c r="Z999" s="1913"/>
      <c r="AA999" s="1913"/>
      <c r="AB999" s="1794"/>
      <c r="AC999" s="1912"/>
      <c r="AD999" s="1911"/>
      <c r="AE999" s="1911"/>
      <c r="AF999" s="1910"/>
      <c r="AI999" s="1735" t="str">
        <f>"55:"&amp;IF(AND(I999="□",L999="□",P999="□",T999="□"),"field236:0:field237:0:field238:0",IF(I999="■","field236:1:field237:1:field238:1",IF(L999="■","field236:2","field236:1")
&amp;IF(P999="■",":field237:2",":field237:1")
&amp;IF(T999="■",":field238:2",":field238:1")))</f>
        <v>55:field236:0:field237:0:field238:0</v>
      </c>
    </row>
    <row r="1000" spans="1:35" s="1735" customFormat="1" ht="18.75" hidden="1" customHeight="1">
      <c r="A1000" s="1766"/>
      <c r="B1000" s="1765"/>
      <c r="C1000" s="1916"/>
      <c r="D1000" s="1915"/>
      <c r="E1000" s="1762"/>
      <c r="F1000" s="1761"/>
      <c r="G1000" s="1762"/>
      <c r="H1000" s="1783"/>
      <c r="I1000" s="1819"/>
      <c r="J1000" s="1781"/>
      <c r="K1000" s="1781"/>
      <c r="L1000" s="1818"/>
      <c r="M1000" s="1781"/>
      <c r="N1000" s="1781"/>
      <c r="O1000" s="1781"/>
      <c r="P1000" s="1818"/>
      <c r="Q1000" s="1781"/>
      <c r="R1000" s="1781"/>
      <c r="S1000" s="1781"/>
      <c r="T1000" s="1818"/>
      <c r="U1000" s="1781"/>
      <c r="V1000" s="1781"/>
      <c r="W1000" s="1781"/>
      <c r="X1000" s="1935"/>
      <c r="Y1000" s="1914"/>
      <c r="Z1000" s="1913"/>
      <c r="AA1000" s="1913"/>
      <c r="AB1000" s="1794"/>
      <c r="AC1000" s="1912"/>
      <c r="AD1000" s="1911"/>
      <c r="AE1000" s="1911"/>
      <c r="AF1000" s="1910"/>
    </row>
    <row r="1001" spans="1:35" s="1735" customFormat="1" ht="18.75" hidden="1" customHeight="1">
      <c r="A1001" s="1766"/>
      <c r="B1001" s="1765"/>
      <c r="C1001" s="1916"/>
      <c r="D1001" s="1915"/>
      <c r="E1001" s="1762"/>
      <c r="F1001" s="1761"/>
      <c r="G1001" s="1762"/>
      <c r="H1001" s="1759" t="s">
        <v>1574</v>
      </c>
      <c r="I1001" s="1758" t="s">
        <v>194</v>
      </c>
      <c r="J1001" s="1756" t="s">
        <v>750</v>
      </c>
      <c r="K1001" s="1755"/>
      <c r="L1001" s="1757" t="s">
        <v>194</v>
      </c>
      <c r="M1001" s="1756" t="s">
        <v>764</v>
      </c>
      <c r="N1001" s="1789"/>
      <c r="O1001" s="1789"/>
      <c r="P1001" s="1789"/>
      <c r="Q1001" s="1789"/>
      <c r="R1001" s="1789"/>
      <c r="S1001" s="1789"/>
      <c r="T1001" s="1789"/>
      <c r="U1001" s="1789"/>
      <c r="V1001" s="1789"/>
      <c r="W1001" s="1789"/>
      <c r="X1001" s="1918"/>
      <c r="Y1001" s="1914"/>
      <c r="Z1001" s="1913"/>
      <c r="AA1001" s="1913"/>
      <c r="AB1001" s="1794"/>
      <c r="AC1001" s="1912"/>
      <c r="AD1001" s="1911"/>
      <c r="AE1001" s="1911"/>
      <c r="AF1001" s="1910"/>
      <c r="AI1001" s="1735" t="str">
        <f>"55:ninti_riha_code:" &amp; IF(I1001="■",1,IF(L1001="■",2,0))</f>
        <v>55:ninti_riha_code:0</v>
      </c>
    </row>
    <row r="1002" spans="1:35" s="1735" customFormat="1" ht="18.75" hidden="1" customHeight="1">
      <c r="A1002" s="1766"/>
      <c r="B1002" s="1765"/>
      <c r="C1002" s="1916"/>
      <c r="D1002" s="1915"/>
      <c r="E1002" s="1762"/>
      <c r="F1002" s="1761"/>
      <c r="G1002" s="1762"/>
      <c r="H1002" s="1769" t="s">
        <v>791</v>
      </c>
      <c r="I1002" s="1773" t="s">
        <v>194</v>
      </c>
      <c r="J1002" s="1754" t="s">
        <v>750</v>
      </c>
      <c r="K1002" s="1754"/>
      <c r="L1002" s="1772" t="s">
        <v>194</v>
      </c>
      <c r="M1002" s="1754" t="s">
        <v>784</v>
      </c>
      <c r="N1002" s="1754"/>
      <c r="O1002" s="1772" t="s">
        <v>194</v>
      </c>
      <c r="P1002" s="1754" t="s">
        <v>785</v>
      </c>
      <c r="Q1002" s="1768"/>
      <c r="R1002" s="1789"/>
      <c r="S1002" s="1789"/>
      <c r="T1002" s="1789"/>
      <c r="U1002" s="1789"/>
      <c r="V1002" s="1789"/>
      <c r="W1002" s="1789"/>
      <c r="X1002" s="1918"/>
      <c r="Y1002" s="1914"/>
      <c r="Z1002" s="1913"/>
      <c r="AA1002" s="1913"/>
      <c r="AB1002" s="1794"/>
      <c r="AC1002" s="1912"/>
      <c r="AD1002" s="1911"/>
      <c r="AE1002" s="1911"/>
      <c r="AF1002" s="1910"/>
      <c r="AI1002" s="1735" t="str">
        <f>"55:ninti_senmoncare_code:" &amp; IF(I1002="■",1,IF(O1002="■",3,IF(L1002="■",2,0)))</f>
        <v>55:ninti_senmoncare_code:0</v>
      </c>
    </row>
    <row r="1003" spans="1:35" s="1735" customFormat="1" ht="18.75" hidden="1" customHeight="1">
      <c r="A1003" s="1766"/>
      <c r="B1003" s="1765"/>
      <c r="C1003" s="1916"/>
      <c r="D1003" s="1915"/>
      <c r="E1003" s="1762"/>
      <c r="F1003" s="1761"/>
      <c r="G1003" s="1762"/>
      <c r="H1003" s="1769" t="s">
        <v>792</v>
      </c>
      <c r="I1003" s="1773" t="s">
        <v>194</v>
      </c>
      <c r="J1003" s="1754" t="s">
        <v>750</v>
      </c>
      <c r="K1003" s="1754"/>
      <c r="L1003" s="1772" t="s">
        <v>194</v>
      </c>
      <c r="M1003" s="1754" t="s">
        <v>784</v>
      </c>
      <c r="N1003" s="1754"/>
      <c r="O1003" s="1772" t="s">
        <v>194</v>
      </c>
      <c r="P1003" s="1754" t="s">
        <v>785</v>
      </c>
      <c r="Q1003" s="1789"/>
      <c r="R1003" s="1789"/>
      <c r="S1003" s="1789"/>
      <c r="T1003" s="1789"/>
      <c r="U1003" s="1789"/>
      <c r="V1003" s="1789"/>
      <c r="W1003" s="1789"/>
      <c r="X1003" s="1918"/>
      <c r="Y1003" s="1914"/>
      <c r="Z1003" s="1913"/>
      <c r="AA1003" s="1913"/>
      <c r="AB1003" s="1794"/>
      <c r="AC1003" s="1912"/>
      <c r="AD1003" s="1911"/>
      <c r="AE1003" s="1911"/>
      <c r="AF1003" s="1910"/>
      <c r="AI1003" s="1735" t="str">
        <f>"55:field228:" &amp; IF(I1003="■",1,IF(L1003="■",2,IF(O1003="■",3,0)))</f>
        <v>55:field228:0</v>
      </c>
    </row>
    <row r="1004" spans="1:35" s="1735" customFormat="1" ht="18.75" hidden="1" customHeight="1">
      <c r="A1004" s="1766"/>
      <c r="B1004" s="1765"/>
      <c r="C1004" s="1916"/>
      <c r="D1004" s="1915"/>
      <c r="E1004" s="1762"/>
      <c r="F1004" s="1761"/>
      <c r="G1004" s="1762"/>
      <c r="H1004" s="1769" t="s">
        <v>1573</v>
      </c>
      <c r="I1004" s="1773" t="s">
        <v>194</v>
      </c>
      <c r="J1004" s="1754" t="s">
        <v>750</v>
      </c>
      <c r="K1004" s="1754"/>
      <c r="L1004" s="1772" t="s">
        <v>194</v>
      </c>
      <c r="M1004" s="1754" t="s">
        <v>784</v>
      </c>
      <c r="N1004" s="1754"/>
      <c r="O1004" s="1772" t="s">
        <v>194</v>
      </c>
      <c r="P1004" s="1754" t="s">
        <v>785</v>
      </c>
      <c r="Q1004" s="1768"/>
      <c r="R1004" s="1754"/>
      <c r="S1004" s="1754"/>
      <c r="T1004" s="1754"/>
      <c r="U1004" s="1754"/>
      <c r="V1004" s="1754"/>
      <c r="W1004" s="1754"/>
      <c r="X1004" s="1753"/>
      <c r="Y1004" s="1914"/>
      <c r="Z1004" s="1913"/>
      <c r="AA1004" s="1913"/>
      <c r="AB1004" s="1794"/>
      <c r="AC1004" s="1912"/>
      <c r="AD1004" s="1911"/>
      <c r="AE1004" s="1911"/>
      <c r="AF1004" s="1910"/>
      <c r="AI1004" s="1735" t="str">
        <f>"55:field164:" &amp; IF(I1004="■",1,IF(L1004="■",2,IF(O1004="■",3,0)))</f>
        <v>55:field164:0</v>
      </c>
    </row>
    <row r="1005" spans="1:35" s="1735" customFormat="1" ht="18.75" hidden="1" customHeight="1">
      <c r="A1005" s="1766"/>
      <c r="B1005" s="1765"/>
      <c r="C1005" s="1916"/>
      <c r="D1005" s="1915"/>
      <c r="E1005" s="1762"/>
      <c r="F1005" s="1761"/>
      <c r="G1005" s="1762"/>
      <c r="H1005" s="1777" t="s">
        <v>454</v>
      </c>
      <c r="I1005" s="1758" t="s">
        <v>194</v>
      </c>
      <c r="J1005" s="1756" t="s">
        <v>750</v>
      </c>
      <c r="K1005" s="1755"/>
      <c r="L1005" s="1757" t="s">
        <v>194</v>
      </c>
      <c r="M1005" s="1756" t="s">
        <v>764</v>
      </c>
      <c r="N1005" s="1789"/>
      <c r="O1005" s="1789"/>
      <c r="P1005" s="1789"/>
      <c r="Q1005" s="1789"/>
      <c r="R1005" s="1789"/>
      <c r="S1005" s="1789"/>
      <c r="T1005" s="1789"/>
      <c r="U1005" s="1789"/>
      <c r="V1005" s="1789"/>
      <c r="W1005" s="1789"/>
      <c r="X1005" s="1918"/>
      <c r="Y1005" s="1914"/>
      <c r="Z1005" s="1913"/>
      <c r="AA1005" s="1913"/>
      <c r="AB1005" s="1794"/>
      <c r="AC1005" s="1912"/>
      <c r="AD1005" s="1911"/>
      <c r="AE1005" s="1911"/>
      <c r="AF1005" s="1910"/>
      <c r="AI1005" s="1735" t="str">
        <f>"55:field210:" &amp; IF(I1005="■",1,IF(L1005="■",2,0))</f>
        <v>55:field210:0</v>
      </c>
    </row>
    <row r="1006" spans="1:35" s="1735" customFormat="1" ht="18.75" hidden="1" customHeight="1">
      <c r="A1006" s="1766"/>
      <c r="B1006" s="1765"/>
      <c r="C1006" s="1916"/>
      <c r="D1006" s="1915"/>
      <c r="E1006" s="1762"/>
      <c r="F1006" s="1761"/>
      <c r="G1006" s="1762"/>
      <c r="H1006" s="1769" t="s">
        <v>455</v>
      </c>
      <c r="I1006" s="1758" t="s">
        <v>194</v>
      </c>
      <c r="J1006" s="1756" t="s">
        <v>750</v>
      </c>
      <c r="K1006" s="1755"/>
      <c r="L1006" s="1757" t="s">
        <v>194</v>
      </c>
      <c r="M1006" s="1756" t="s">
        <v>764</v>
      </c>
      <c r="N1006" s="1789"/>
      <c r="O1006" s="1789"/>
      <c r="P1006" s="1789"/>
      <c r="Q1006" s="1789"/>
      <c r="R1006" s="1789"/>
      <c r="S1006" s="1789"/>
      <c r="T1006" s="1789"/>
      <c r="U1006" s="1789"/>
      <c r="V1006" s="1789"/>
      <c r="W1006" s="1789"/>
      <c r="X1006" s="1918"/>
      <c r="Y1006" s="1914"/>
      <c r="Z1006" s="1913"/>
      <c r="AA1006" s="1913"/>
      <c r="AB1006" s="1794"/>
      <c r="AC1006" s="1912"/>
      <c r="AD1006" s="1911"/>
      <c r="AE1006" s="1911"/>
      <c r="AF1006" s="1910"/>
      <c r="AI1006" s="1735" t="str">
        <f>"55:field211:" &amp; IF(I1006="■",1,IF(L1006="■",2,0))</f>
        <v>55:field211:0</v>
      </c>
    </row>
    <row r="1007" spans="1:35" s="1735" customFormat="1" ht="18.75" hidden="1" customHeight="1">
      <c r="A1007" s="1766"/>
      <c r="B1007" s="1765"/>
      <c r="C1007" s="1916"/>
      <c r="D1007" s="1915"/>
      <c r="E1007" s="1762"/>
      <c r="F1007" s="1761"/>
      <c r="G1007" s="1762"/>
      <c r="H1007" s="1769" t="s">
        <v>456</v>
      </c>
      <c r="I1007" s="1758" t="s">
        <v>194</v>
      </c>
      <c r="J1007" s="1756" t="s">
        <v>750</v>
      </c>
      <c r="K1007" s="1755"/>
      <c r="L1007" s="1757" t="s">
        <v>194</v>
      </c>
      <c r="M1007" s="1756" t="s">
        <v>764</v>
      </c>
      <c r="N1007" s="1789"/>
      <c r="O1007" s="1789"/>
      <c r="P1007" s="1789"/>
      <c r="Q1007" s="1789"/>
      <c r="R1007" s="1789"/>
      <c r="S1007" s="1789"/>
      <c r="T1007" s="1789"/>
      <c r="U1007" s="1789"/>
      <c r="V1007" s="1789"/>
      <c r="W1007" s="1789"/>
      <c r="X1007" s="1918"/>
      <c r="Y1007" s="1914"/>
      <c r="Z1007" s="1913"/>
      <c r="AA1007" s="1913"/>
      <c r="AB1007" s="1794"/>
      <c r="AC1007" s="1912"/>
      <c r="AD1007" s="1911"/>
      <c r="AE1007" s="1911"/>
      <c r="AF1007" s="1910"/>
      <c r="AI1007" s="1735" t="str">
        <f>"55:field212:" &amp; IF(I1007="■",1,IF(L1007="■",2,0))</f>
        <v>55:field212:0</v>
      </c>
    </row>
    <row r="1008" spans="1:35" s="1735" customFormat="1" ht="18.75" hidden="1" customHeight="1">
      <c r="A1008" s="1766"/>
      <c r="B1008" s="1765"/>
      <c r="C1008" s="1916"/>
      <c r="D1008" s="1915"/>
      <c r="E1008" s="1762"/>
      <c r="F1008" s="1761"/>
      <c r="G1008" s="1762"/>
      <c r="H1008" s="1769" t="s">
        <v>457</v>
      </c>
      <c r="I1008" s="1758" t="s">
        <v>194</v>
      </c>
      <c r="J1008" s="1756" t="s">
        <v>750</v>
      </c>
      <c r="K1008" s="1755"/>
      <c r="L1008" s="1757" t="s">
        <v>194</v>
      </c>
      <c r="M1008" s="1756" t="s">
        <v>764</v>
      </c>
      <c r="N1008" s="1789"/>
      <c r="O1008" s="1789"/>
      <c r="P1008" s="1789"/>
      <c r="Q1008" s="1789"/>
      <c r="R1008" s="1789"/>
      <c r="S1008" s="1789"/>
      <c r="T1008" s="1789"/>
      <c r="U1008" s="1789"/>
      <c r="V1008" s="1789"/>
      <c r="W1008" s="1789"/>
      <c r="X1008" s="1918"/>
      <c r="Y1008" s="1914"/>
      <c r="Z1008" s="1913"/>
      <c r="AA1008" s="1913"/>
      <c r="AB1008" s="1794"/>
      <c r="AC1008" s="1912"/>
      <c r="AD1008" s="1911"/>
      <c r="AE1008" s="1911"/>
      <c r="AF1008" s="1910"/>
      <c r="AI1008" s="1735" t="str">
        <f>"55:field209:" &amp; IF(I1008="■",1,IF(L1008="■",2,0))</f>
        <v>55:field209:0</v>
      </c>
    </row>
    <row r="1009" spans="1:36" s="1735" customFormat="1" ht="18.75" hidden="1" customHeight="1">
      <c r="A1009" s="1766"/>
      <c r="B1009" s="1765"/>
      <c r="C1009" s="1916"/>
      <c r="D1009" s="1915"/>
      <c r="E1009" s="1762"/>
      <c r="F1009" s="1761"/>
      <c r="G1009" s="1762"/>
      <c r="H1009" s="1769" t="s">
        <v>1124</v>
      </c>
      <c r="I1009" s="1773" t="s">
        <v>194</v>
      </c>
      <c r="J1009" s="1754" t="s">
        <v>750</v>
      </c>
      <c r="K1009" s="1754"/>
      <c r="L1009" s="1772" t="s">
        <v>194</v>
      </c>
      <c r="M1009" s="1756" t="s">
        <v>764</v>
      </c>
      <c r="N1009" s="1754"/>
      <c r="O1009" s="1754"/>
      <c r="P1009" s="1754"/>
      <c r="Q1009" s="1789"/>
      <c r="R1009" s="1789"/>
      <c r="S1009" s="1789"/>
      <c r="T1009" s="1789"/>
      <c r="U1009" s="1789"/>
      <c r="V1009" s="1789"/>
      <c r="W1009" s="1789"/>
      <c r="X1009" s="1918"/>
      <c r="Y1009" s="1914"/>
      <c r="Z1009" s="1913"/>
      <c r="AA1009" s="1913"/>
      <c r="AB1009" s="1794"/>
      <c r="AC1009" s="1912"/>
      <c r="AD1009" s="1911"/>
      <c r="AE1009" s="1911"/>
      <c r="AF1009" s="1910"/>
      <c r="AI1009" s="1735" t="str">
        <f>"55:field226:" &amp; IF(I1009="■",1,IF(L1009="■",2,0))</f>
        <v>55:field226:0</v>
      </c>
    </row>
    <row r="1010" spans="1:36" s="1735" customFormat="1" ht="18.75" hidden="1" customHeight="1">
      <c r="A1010" s="1766"/>
      <c r="B1010" s="1765"/>
      <c r="C1010" s="1916"/>
      <c r="D1010" s="1915"/>
      <c r="E1010" s="1762"/>
      <c r="F1010" s="1761"/>
      <c r="G1010" s="1762"/>
      <c r="H1010" s="1769" t="s">
        <v>1125</v>
      </c>
      <c r="I1010" s="1773" t="s">
        <v>194</v>
      </c>
      <c r="J1010" s="1754" t="s">
        <v>750</v>
      </c>
      <c r="K1010" s="1754"/>
      <c r="L1010" s="1772" t="s">
        <v>194</v>
      </c>
      <c r="M1010" s="1756" t="s">
        <v>764</v>
      </c>
      <c r="N1010" s="1754"/>
      <c r="O1010" s="1754"/>
      <c r="P1010" s="1754"/>
      <c r="Q1010" s="1789"/>
      <c r="R1010" s="1789"/>
      <c r="S1010" s="1789"/>
      <c r="T1010" s="1789"/>
      <c r="U1010" s="1789"/>
      <c r="V1010" s="1789"/>
      <c r="W1010" s="1789"/>
      <c r="X1010" s="1918"/>
      <c r="Y1010" s="1914"/>
      <c r="Z1010" s="1913"/>
      <c r="AA1010" s="1913"/>
      <c r="AB1010" s="1794"/>
      <c r="AC1010" s="1912"/>
      <c r="AD1010" s="1911"/>
      <c r="AE1010" s="1911"/>
      <c r="AF1010" s="1910"/>
      <c r="AI1010" s="1735" t="str">
        <f>"55:field227:" &amp; IF(I1010="■",1,IF(L1010="■",2,0))</f>
        <v>55:field227:0</v>
      </c>
    </row>
    <row r="1011" spans="1:36" s="1735" customFormat="1" ht="18.75" hidden="1" customHeight="1">
      <c r="A1011" s="1766"/>
      <c r="B1011" s="1765"/>
      <c r="C1011" s="1916"/>
      <c r="D1011" s="1915"/>
      <c r="E1011" s="1762"/>
      <c r="F1011" s="1761"/>
      <c r="G1011" s="1762"/>
      <c r="H1011" s="1917" t="s">
        <v>794</v>
      </c>
      <c r="I1011" s="1773" t="s">
        <v>194</v>
      </c>
      <c r="J1011" s="1754" t="s">
        <v>750</v>
      </c>
      <c r="K1011" s="1754"/>
      <c r="L1011" s="1772" t="s">
        <v>194</v>
      </c>
      <c r="M1011" s="1754" t="s">
        <v>784</v>
      </c>
      <c r="N1011" s="1754"/>
      <c r="O1011" s="1772" t="s">
        <v>194</v>
      </c>
      <c r="P1011" s="1754" t="s">
        <v>785</v>
      </c>
      <c r="Q1011" s="1768"/>
      <c r="R1011" s="1768"/>
      <c r="S1011" s="1768"/>
      <c r="T1011" s="1768"/>
      <c r="U1011" s="1829"/>
      <c r="V1011" s="1829"/>
      <c r="W1011" s="1829"/>
      <c r="X1011" s="1828"/>
      <c r="Y1011" s="1914"/>
      <c r="Z1011" s="1913"/>
      <c r="AA1011" s="1913"/>
      <c r="AB1011" s="1794"/>
      <c r="AC1011" s="1912"/>
      <c r="AD1011" s="1911"/>
      <c r="AE1011" s="1911"/>
      <c r="AF1011" s="1910"/>
      <c r="AI1011" s="1735" t="str">
        <f>"55:field225:" &amp; IF(I1011="■",1,IF(L1011="■",2,IF(O1011="■",3,0)))</f>
        <v>55:field225:0</v>
      </c>
    </row>
    <row r="1012" spans="1:36" s="1735" customFormat="1" ht="18.75" hidden="1" customHeight="1">
      <c r="A1012" s="1766"/>
      <c r="B1012" s="1765"/>
      <c r="C1012" s="1916"/>
      <c r="D1012" s="1915"/>
      <c r="E1012" s="1762"/>
      <c r="F1012" s="1761"/>
      <c r="G1012" s="1762"/>
      <c r="H1012" s="1769" t="s">
        <v>795</v>
      </c>
      <c r="I1012" s="1773" t="s">
        <v>194</v>
      </c>
      <c r="J1012" s="1754" t="s">
        <v>750</v>
      </c>
      <c r="K1012" s="1754"/>
      <c r="L1012" s="1772" t="s">
        <v>194</v>
      </c>
      <c r="M1012" s="1754" t="s">
        <v>796</v>
      </c>
      <c r="N1012" s="1754"/>
      <c r="O1012" s="1772" t="s">
        <v>194</v>
      </c>
      <c r="P1012" s="1754" t="s">
        <v>797</v>
      </c>
      <c r="Q1012" s="1771"/>
      <c r="R1012" s="1772" t="s">
        <v>194</v>
      </c>
      <c r="S1012" s="1754" t="s">
        <v>798</v>
      </c>
      <c r="T1012" s="1754"/>
      <c r="U1012" s="1754"/>
      <c r="V1012" s="1754"/>
      <c r="W1012" s="1754"/>
      <c r="X1012" s="1753"/>
      <c r="Y1012" s="1914"/>
      <c r="Z1012" s="1913"/>
      <c r="AA1012" s="1913"/>
      <c r="AB1012" s="1794"/>
      <c r="AC1012" s="1912"/>
      <c r="AD1012" s="1911"/>
      <c r="AE1012" s="1911"/>
      <c r="AF1012" s="1910"/>
      <c r="AI1012" s="1735" t="str">
        <f>"55:serteikyo_kyoka_code:" &amp; IF(I1012="■",1,IF(L1012="■",6,IF(O1012="■",5,IF(R1012="■",7,0))))</f>
        <v>55:serteikyo_kyoka_code:0</v>
      </c>
    </row>
    <row r="1013" spans="1:36" s="1735" customFormat="1" ht="18.75" hidden="1" customHeight="1">
      <c r="A1013" s="1752"/>
      <c r="B1013" s="1751"/>
      <c r="C1013" s="1750"/>
      <c r="D1013" s="1749"/>
      <c r="E1013" s="1748"/>
      <c r="F1013" s="1747"/>
      <c r="G1013" s="1808"/>
      <c r="H1013" s="1909" t="s">
        <v>1553</v>
      </c>
      <c r="I1013" s="1744" t="s">
        <v>194</v>
      </c>
      <c r="J1013" s="1905" t="s">
        <v>750</v>
      </c>
      <c r="K1013" s="1905"/>
      <c r="L1013" s="1743" t="s">
        <v>194</v>
      </c>
      <c r="M1013" s="1905" t="s">
        <v>1552</v>
      </c>
      <c r="N1013" s="1908"/>
      <c r="O1013" s="1743" t="s">
        <v>194</v>
      </c>
      <c r="P1013" s="1907" t="s">
        <v>1551</v>
      </c>
      <c r="Q1013" s="1906"/>
      <c r="R1013" s="1743" t="s">
        <v>194</v>
      </c>
      <c r="S1013" s="1905" t="s">
        <v>1550</v>
      </c>
      <c r="T1013" s="1906"/>
      <c r="U1013" s="1743" t="s">
        <v>194</v>
      </c>
      <c r="V1013" s="1905" t="s">
        <v>1549</v>
      </c>
      <c r="W1013" s="1904"/>
      <c r="X1013" s="1903"/>
      <c r="Y1013" s="1902"/>
      <c r="Z1013" s="1902"/>
      <c r="AA1013" s="1902"/>
      <c r="AB1013" s="1901"/>
      <c r="AC1013" s="1900"/>
      <c r="AD1013" s="1899"/>
      <c r="AE1013" s="1899"/>
      <c r="AF1013" s="1898"/>
      <c r="AI1013" s="1735" t="str">
        <f>"55:shoguukaizen_code:"&amp;IF(I1013="■",1,IF(L1013="■",7,IF(O1013="■",8,IF(R1013="■",9,IF(U1013="■","A",0)))))</f>
        <v>55:shoguukaizen_code:0</v>
      </c>
    </row>
    <row r="1014" spans="1:36" s="1735" customFormat="1" ht="18.75" hidden="1" customHeight="1">
      <c r="A1014" s="1807"/>
      <c r="B1014" s="1806"/>
      <c r="C1014" s="1934"/>
      <c r="D1014" s="1933"/>
      <c r="E1014" s="1804"/>
      <c r="F1014" s="1803"/>
      <c r="G1014" s="1804"/>
      <c r="H1014" s="1885" t="s">
        <v>746</v>
      </c>
      <c r="I1014" s="1873" t="s">
        <v>194</v>
      </c>
      <c r="J1014" s="1872" t="s">
        <v>747</v>
      </c>
      <c r="K1014" s="1932"/>
      <c r="L1014" s="1930"/>
      <c r="M1014" s="1931" t="s">
        <v>194</v>
      </c>
      <c r="N1014" s="1872" t="s">
        <v>1572</v>
      </c>
      <c r="O1014" s="1930"/>
      <c r="P1014" s="1930"/>
      <c r="Q1014" s="1931" t="s">
        <v>194</v>
      </c>
      <c r="R1014" s="1872" t="s">
        <v>1571</v>
      </c>
      <c r="S1014" s="1930"/>
      <c r="T1014" s="1930"/>
      <c r="U1014" s="1931" t="s">
        <v>194</v>
      </c>
      <c r="V1014" s="1872" t="s">
        <v>1570</v>
      </c>
      <c r="W1014" s="1930"/>
      <c r="X1014" s="1886"/>
      <c r="Y1014" s="1873" t="s">
        <v>194</v>
      </c>
      <c r="Z1014" s="1872" t="s">
        <v>749</v>
      </c>
      <c r="AA1014" s="1872"/>
      <c r="AB1014" s="1929"/>
      <c r="AC1014" s="1928"/>
      <c r="AD1014" s="1927"/>
      <c r="AE1014" s="1927"/>
      <c r="AF1014" s="1926"/>
      <c r="AG1014" s="1735" t="str">
        <f>"ser_code = '" &amp; IF(A1025="■",55,"") &amp; "'"</f>
        <v>ser_code = ''</v>
      </c>
      <c r="AH1014" s="1735" t="str">
        <f>"55:jininkbn_code:"&amp;IF(F1025="■",1,IF(F1026="■",2,0))</f>
        <v>55:jininkbn_code:0</v>
      </c>
      <c r="AI1014" s="1735" t="str">
        <f>"55:yakan_kinmu_code:" &amp; IF(I1014="■",1,IF(M1014="■",2,IF(Q1014="■",3,IF(U1014="■",7,IF(I1015="■",5,IF(M1015="■",6,0))))))</f>
        <v>55:yakan_kinmu_code:0</v>
      </c>
      <c r="AJ1014" s="1735" t="str">
        <f>"55:field203:" &amp; IF(Y1014="■",1,IF(Y1015="■",2,0))</f>
        <v>55:field203:0</v>
      </c>
    </row>
    <row r="1015" spans="1:36" s="1735" customFormat="1" ht="18.75" hidden="1" customHeight="1">
      <c r="A1015" s="1766"/>
      <c r="B1015" s="1765"/>
      <c r="C1015" s="1916"/>
      <c r="D1015" s="1915"/>
      <c r="E1015" s="1762"/>
      <c r="F1015" s="1761"/>
      <c r="G1015" s="1762"/>
      <c r="H1015" s="1921"/>
      <c r="I1015" s="1758" t="s">
        <v>194</v>
      </c>
      <c r="J1015" s="1756" t="s">
        <v>1569</v>
      </c>
      <c r="K1015" s="1755"/>
      <c r="L1015" s="1780"/>
      <c r="M1015" s="1757" t="s">
        <v>194</v>
      </c>
      <c r="N1015" s="1756" t="s">
        <v>748</v>
      </c>
      <c r="O1015" s="1780"/>
      <c r="P1015" s="1780"/>
      <c r="Q1015" s="1780"/>
      <c r="R1015" s="1780"/>
      <c r="S1015" s="1780"/>
      <c r="T1015" s="1780"/>
      <c r="U1015" s="1780"/>
      <c r="V1015" s="1780"/>
      <c r="W1015" s="1780"/>
      <c r="X1015" s="1779"/>
      <c r="Y1015" s="1776" t="s">
        <v>194</v>
      </c>
      <c r="Z1015" s="1738" t="s">
        <v>754</v>
      </c>
      <c r="AA1015" s="1913"/>
      <c r="AB1015" s="1794"/>
      <c r="AC1015" s="1912"/>
      <c r="AD1015" s="1911"/>
      <c r="AE1015" s="1911"/>
      <c r="AF1015" s="1910"/>
      <c r="AG1015" s="1735" t="str">
        <f>"55:sisetukbn_code:" &amp; IF(D1025="■",6,0)</f>
        <v>55:sisetukbn_code:0</v>
      </c>
    </row>
    <row r="1016" spans="1:36" s="1735" customFormat="1" ht="18.75" hidden="1" customHeight="1">
      <c r="A1016" s="1766"/>
      <c r="B1016" s="1765"/>
      <c r="C1016" s="1916"/>
      <c r="D1016" s="1915"/>
      <c r="E1016" s="1762"/>
      <c r="F1016" s="1761"/>
      <c r="G1016" s="1762"/>
      <c r="H1016" s="1925" t="s">
        <v>98</v>
      </c>
      <c r="I1016" s="1924" t="s">
        <v>194</v>
      </c>
      <c r="J1016" s="1923" t="s">
        <v>750</v>
      </c>
      <c r="K1016" s="1923"/>
      <c r="L1016" s="1785"/>
      <c r="M1016" s="1922" t="s">
        <v>194</v>
      </c>
      <c r="N1016" s="1923" t="s">
        <v>1568</v>
      </c>
      <c r="O1016" s="1923"/>
      <c r="P1016" s="1785"/>
      <c r="Q1016" s="1922" t="s">
        <v>194</v>
      </c>
      <c r="R1016" s="1785" t="s">
        <v>1567</v>
      </c>
      <c r="S1016" s="1785"/>
      <c r="T1016" s="1785"/>
      <c r="U1016" s="1922" t="s">
        <v>194</v>
      </c>
      <c r="V1016" s="1785" t="s">
        <v>1566</v>
      </c>
      <c r="W1016" s="1829"/>
      <c r="X1016" s="1828"/>
      <c r="Y1016" s="1914"/>
      <c r="Z1016" s="1913"/>
      <c r="AA1016" s="1913"/>
      <c r="AB1016" s="1794"/>
      <c r="AC1016" s="1912"/>
      <c r="AD1016" s="1911"/>
      <c r="AE1016" s="1911"/>
      <c r="AF1016" s="1910"/>
      <c r="AI1016" s="1735" t="str">
        <f>"55:"&amp;IF(AND(I1016="□",M1016="□",Q1016="□",U1016="□",I1017="□",M1017="□"),"ketu_doctor_code:0",IF(I1016="■","ketu_doctor_code:1:field197:1:ketu_kangos_code:1:ketu_kshoku_code:1:ketu_ksiensou_code:1",IF(M1016="■","ketu_doctor_code:2","ketu_doctor_code:1")
&amp;IF(Q1016="■",":field197:2",":field197:1")
&amp;IF(U1016="■",":ketu_kangos_code:2",":ketu_kangos_code:1")
&amp;IF(I1017="■",":ketu_kshoku_code:2",":ketu_kshoku_code:1")
&amp;IF(M1017="■",":ketu_ksiensou_code:2",":ketu_ksiensou_code:1")))</f>
        <v>55:ketu_doctor_code:0</v>
      </c>
    </row>
    <row r="1017" spans="1:36" s="1735" customFormat="1" ht="18.75" hidden="1" customHeight="1">
      <c r="A1017" s="1766"/>
      <c r="B1017" s="1765"/>
      <c r="C1017" s="1916"/>
      <c r="D1017" s="1915"/>
      <c r="E1017" s="1762"/>
      <c r="F1017" s="1761"/>
      <c r="G1017" s="1762"/>
      <c r="H1017" s="1921"/>
      <c r="I1017" s="1758" t="s">
        <v>194</v>
      </c>
      <c r="J1017" s="1780" t="s">
        <v>1565</v>
      </c>
      <c r="K1017" s="1756"/>
      <c r="L1017" s="1780"/>
      <c r="M1017" s="1757" t="s">
        <v>194</v>
      </c>
      <c r="N1017" s="1756" t="s">
        <v>1564</v>
      </c>
      <c r="O1017" s="1756"/>
      <c r="P1017" s="1780"/>
      <c r="Q1017" s="1780"/>
      <c r="R1017" s="1780"/>
      <c r="S1017" s="1780"/>
      <c r="T1017" s="1780"/>
      <c r="U1017" s="1780"/>
      <c r="V1017" s="1780"/>
      <c r="W1017" s="1827"/>
      <c r="X1017" s="1826"/>
      <c r="Y1017" s="1914"/>
      <c r="Z1017" s="1913"/>
      <c r="AA1017" s="1913"/>
      <c r="AB1017" s="1794"/>
      <c r="AC1017" s="1912"/>
      <c r="AD1017" s="1911"/>
      <c r="AE1017" s="1911"/>
      <c r="AF1017" s="1910"/>
    </row>
    <row r="1018" spans="1:36" s="1735" customFormat="1" ht="18.75" hidden="1" customHeight="1">
      <c r="A1018" s="1766"/>
      <c r="B1018" s="1765"/>
      <c r="C1018" s="1916"/>
      <c r="D1018" s="1915"/>
      <c r="E1018" s="1762"/>
      <c r="F1018" s="1761"/>
      <c r="G1018" s="1762"/>
      <c r="H1018" s="1769" t="s">
        <v>99</v>
      </c>
      <c r="I1018" s="1773" t="s">
        <v>194</v>
      </c>
      <c r="J1018" s="1754" t="s">
        <v>755</v>
      </c>
      <c r="K1018" s="1789"/>
      <c r="L1018" s="1771"/>
      <c r="M1018" s="1772" t="s">
        <v>194</v>
      </c>
      <c r="N1018" s="1754" t="s">
        <v>756</v>
      </c>
      <c r="O1018" s="1789"/>
      <c r="P1018" s="1768"/>
      <c r="Q1018" s="1768"/>
      <c r="R1018" s="1768"/>
      <c r="S1018" s="1768"/>
      <c r="T1018" s="1768"/>
      <c r="U1018" s="1768"/>
      <c r="V1018" s="1768"/>
      <c r="W1018" s="1768"/>
      <c r="X1018" s="1767"/>
      <c r="Y1018" s="1914"/>
      <c r="Z1018" s="1913"/>
      <c r="AA1018" s="1913"/>
      <c r="AB1018" s="1794"/>
      <c r="AC1018" s="1912"/>
      <c r="AD1018" s="1911"/>
      <c r="AE1018" s="1911"/>
      <c r="AF1018" s="1910"/>
      <c r="AI1018" s="1735" t="str">
        <f>"55:unitcare_code:" &amp; IF(I1018="■",1,IF(M1018="■",2,0))</f>
        <v>55:unitcare_code:0</v>
      </c>
    </row>
    <row r="1019" spans="1:36" s="1735" customFormat="1" ht="18.75" hidden="1" customHeight="1">
      <c r="A1019" s="1766"/>
      <c r="B1019" s="1765"/>
      <c r="C1019" s="1916"/>
      <c r="D1019" s="1915"/>
      <c r="E1019" s="1762"/>
      <c r="F1019" s="1761"/>
      <c r="G1019" s="1762"/>
      <c r="H1019" s="1769" t="s">
        <v>757</v>
      </c>
      <c r="I1019" s="1773" t="s">
        <v>194</v>
      </c>
      <c r="J1019" s="1754" t="s">
        <v>758</v>
      </c>
      <c r="K1019" s="1789"/>
      <c r="L1019" s="1771"/>
      <c r="M1019" s="1772" t="s">
        <v>194</v>
      </c>
      <c r="N1019" s="1754" t="s">
        <v>759</v>
      </c>
      <c r="O1019" s="1768"/>
      <c r="P1019" s="1768"/>
      <c r="Q1019" s="1768"/>
      <c r="R1019" s="1768"/>
      <c r="S1019" s="1768"/>
      <c r="T1019" s="1768"/>
      <c r="U1019" s="1768"/>
      <c r="V1019" s="1768"/>
      <c r="W1019" s="1768"/>
      <c r="X1019" s="1767"/>
      <c r="Y1019" s="1914"/>
      <c r="Z1019" s="1913"/>
      <c r="AA1019" s="1913"/>
      <c r="AB1019" s="1794"/>
      <c r="AC1019" s="1912"/>
      <c r="AD1019" s="1911"/>
      <c r="AE1019" s="1911"/>
      <c r="AF1019" s="1910"/>
      <c r="AI1019" s="1735" t="str">
        <f>"55:sintaikousoku_code:" &amp; IF(I1019="■",1,IF(M1019="■",2,0))</f>
        <v>55:sintaikousoku_code:0</v>
      </c>
    </row>
    <row r="1020" spans="1:36" s="1735" customFormat="1" ht="18.75" hidden="1" customHeight="1">
      <c r="A1020" s="1766"/>
      <c r="B1020" s="1765"/>
      <c r="C1020" s="1916"/>
      <c r="D1020" s="1915"/>
      <c r="E1020" s="1762"/>
      <c r="F1020" s="1761"/>
      <c r="G1020" s="1762"/>
      <c r="H1020" s="1769" t="s">
        <v>448</v>
      </c>
      <c r="I1020" s="1773" t="s">
        <v>194</v>
      </c>
      <c r="J1020" s="1754" t="s">
        <v>758</v>
      </c>
      <c r="K1020" s="1789"/>
      <c r="L1020" s="1771"/>
      <c r="M1020" s="1772" t="s">
        <v>194</v>
      </c>
      <c r="N1020" s="1754" t="s">
        <v>759</v>
      </c>
      <c r="O1020" s="1768"/>
      <c r="P1020" s="1768"/>
      <c r="Q1020" s="1768"/>
      <c r="R1020" s="1768"/>
      <c r="S1020" s="1768"/>
      <c r="T1020" s="1768"/>
      <c r="U1020" s="1768"/>
      <c r="V1020" s="1768"/>
      <c r="W1020" s="1768"/>
      <c r="X1020" s="1767"/>
      <c r="Y1020" s="1914"/>
      <c r="Z1020" s="1913"/>
      <c r="AA1020" s="1913"/>
      <c r="AB1020" s="1794"/>
      <c r="AC1020" s="1912"/>
      <c r="AD1020" s="1911"/>
      <c r="AE1020" s="1911"/>
      <c r="AF1020" s="1910"/>
      <c r="AI1020" s="1735" t="str">
        <f>"55:field208:" &amp; IF(I1020="■",1,IF(M1020="■",2,0))</f>
        <v>55:field208:0</v>
      </c>
    </row>
    <row r="1021" spans="1:36" s="1735" customFormat="1" ht="19.5" hidden="1" customHeight="1">
      <c r="A1021" s="1766"/>
      <c r="B1021" s="1765"/>
      <c r="C1021" s="1764"/>
      <c r="D1021" s="1763"/>
      <c r="E1021" s="1762"/>
      <c r="F1021" s="1761"/>
      <c r="G1021" s="1793"/>
      <c r="H1021" s="1792" t="s">
        <v>760</v>
      </c>
      <c r="I1021" s="1773" t="s">
        <v>194</v>
      </c>
      <c r="J1021" s="1754" t="s">
        <v>758</v>
      </c>
      <c r="K1021" s="1789"/>
      <c r="L1021" s="1791"/>
      <c r="M1021" s="1772" t="s">
        <v>194</v>
      </c>
      <c r="N1021" s="1754" t="s">
        <v>761</v>
      </c>
      <c r="O1021" s="1920"/>
      <c r="P1021" s="1754"/>
      <c r="Q1021" s="1768"/>
      <c r="R1021" s="1768"/>
      <c r="S1021" s="1768"/>
      <c r="T1021" s="1768"/>
      <c r="U1021" s="1768"/>
      <c r="V1021" s="1768"/>
      <c r="W1021" s="1768"/>
      <c r="X1021" s="1767"/>
      <c r="Y1021" s="1913"/>
      <c r="Z1021" s="1913"/>
      <c r="AA1021" s="1913"/>
      <c r="AB1021" s="1794"/>
      <c r="AC1021" s="1912"/>
      <c r="AD1021" s="1911"/>
      <c r="AE1021" s="1911"/>
      <c r="AF1021" s="1910"/>
      <c r="AI1021" s="1735" t="str">
        <f>"55:field223:" &amp; IF(I1021="■",1,IF(M1021="■",2,0))</f>
        <v>55:field223:0</v>
      </c>
    </row>
    <row r="1022" spans="1:36" s="1735" customFormat="1" ht="19.5" hidden="1" customHeight="1">
      <c r="A1022" s="1766"/>
      <c r="B1022" s="1765"/>
      <c r="C1022" s="1764"/>
      <c r="D1022" s="1763"/>
      <c r="E1022" s="1762"/>
      <c r="F1022" s="1761"/>
      <c r="G1022" s="1793"/>
      <c r="H1022" s="1792" t="s">
        <v>762</v>
      </c>
      <c r="I1022" s="1773" t="s">
        <v>194</v>
      </c>
      <c r="J1022" s="1754" t="s">
        <v>758</v>
      </c>
      <c r="K1022" s="1789"/>
      <c r="L1022" s="1791"/>
      <c r="M1022" s="1772" t="s">
        <v>194</v>
      </c>
      <c r="N1022" s="1754" t="s">
        <v>761</v>
      </c>
      <c r="O1022" s="1920"/>
      <c r="P1022" s="1754"/>
      <c r="Q1022" s="1768"/>
      <c r="R1022" s="1768"/>
      <c r="S1022" s="1768"/>
      <c r="T1022" s="1768"/>
      <c r="U1022" s="1768"/>
      <c r="V1022" s="1768"/>
      <c r="W1022" s="1768"/>
      <c r="X1022" s="1767"/>
      <c r="Y1022" s="1913"/>
      <c r="Z1022" s="1913"/>
      <c r="AA1022" s="1913"/>
      <c r="AB1022" s="1794"/>
      <c r="AC1022" s="1912"/>
      <c r="AD1022" s="1911"/>
      <c r="AE1022" s="1911"/>
      <c r="AF1022" s="1910"/>
      <c r="AI1022" s="1735" t="str">
        <f>"55:field232:" &amp; IF(I1022="■",1,IF(M1022="■",2,0))</f>
        <v>55:field232:0</v>
      </c>
    </row>
    <row r="1023" spans="1:36" s="1735" customFormat="1" ht="18.75" hidden="1" customHeight="1">
      <c r="A1023" s="1766"/>
      <c r="B1023" s="1765"/>
      <c r="C1023" s="1916"/>
      <c r="D1023" s="1915"/>
      <c r="E1023" s="1762"/>
      <c r="F1023" s="1761"/>
      <c r="G1023" s="1762"/>
      <c r="H1023" s="1788" t="s">
        <v>763</v>
      </c>
      <c r="I1023" s="1868" t="s">
        <v>194</v>
      </c>
      <c r="J1023" s="1830" t="s">
        <v>750</v>
      </c>
      <c r="K1023" s="1830"/>
      <c r="L1023" s="1919" t="s">
        <v>194</v>
      </c>
      <c r="M1023" s="1830" t="s">
        <v>764</v>
      </c>
      <c r="N1023" s="1830"/>
      <c r="O1023" s="1785"/>
      <c r="P1023" s="1785"/>
      <c r="Q1023" s="1785"/>
      <c r="R1023" s="1785"/>
      <c r="S1023" s="1785"/>
      <c r="T1023" s="1785"/>
      <c r="U1023" s="1785"/>
      <c r="V1023" s="1785"/>
      <c r="W1023" s="1785"/>
      <c r="X1023" s="1784"/>
      <c r="Y1023" s="1914"/>
      <c r="Z1023" s="1913"/>
      <c r="AA1023" s="1913"/>
      <c r="AB1023" s="1794"/>
      <c r="AC1023" s="1912"/>
      <c r="AD1023" s="1911"/>
      <c r="AE1023" s="1911"/>
      <c r="AF1023" s="1910"/>
      <c r="AI1023" s="1735" t="str">
        <f>"55:field206:" &amp; IF(I1023="■",1,IF(L1023="■",2,0))</f>
        <v>55:field206:0</v>
      </c>
    </row>
    <row r="1024" spans="1:36" s="1735" customFormat="1" ht="18.75" hidden="1" customHeight="1">
      <c r="A1024" s="1766"/>
      <c r="B1024" s="1765"/>
      <c r="C1024" s="1916"/>
      <c r="D1024" s="1915"/>
      <c r="E1024" s="1762"/>
      <c r="F1024" s="1761"/>
      <c r="G1024" s="1762"/>
      <c r="H1024" s="1783"/>
      <c r="I1024" s="1819"/>
      <c r="J1024" s="1781"/>
      <c r="K1024" s="1781"/>
      <c r="L1024" s="1818"/>
      <c r="M1024" s="1781"/>
      <c r="N1024" s="1781"/>
      <c r="O1024" s="1780"/>
      <c r="P1024" s="1780"/>
      <c r="Q1024" s="1780"/>
      <c r="R1024" s="1780"/>
      <c r="S1024" s="1780"/>
      <c r="T1024" s="1780"/>
      <c r="U1024" s="1780"/>
      <c r="V1024" s="1780"/>
      <c r="W1024" s="1780"/>
      <c r="X1024" s="1779"/>
      <c r="Y1024" s="1914"/>
      <c r="Z1024" s="1913"/>
      <c r="AA1024" s="1913"/>
      <c r="AB1024" s="1794"/>
      <c r="AC1024" s="1912"/>
      <c r="AD1024" s="1911"/>
      <c r="AE1024" s="1911"/>
      <c r="AF1024" s="1910"/>
    </row>
    <row r="1025" spans="1:35" s="1735" customFormat="1" ht="18.75" hidden="1" customHeight="1">
      <c r="A1025" s="1776" t="s">
        <v>194</v>
      </c>
      <c r="B1025" s="1765">
        <v>55</v>
      </c>
      <c r="C1025" s="1916" t="s">
        <v>1563</v>
      </c>
      <c r="D1025" s="1776" t="s">
        <v>194</v>
      </c>
      <c r="E1025" s="1762" t="s">
        <v>1562</v>
      </c>
      <c r="F1025" s="1776" t="s">
        <v>194</v>
      </c>
      <c r="G1025" s="1762" t="s">
        <v>1561</v>
      </c>
      <c r="H1025" s="1769" t="s">
        <v>1560</v>
      </c>
      <c r="I1025" s="1773" t="s">
        <v>194</v>
      </c>
      <c r="J1025" s="1754" t="s">
        <v>1557</v>
      </c>
      <c r="K1025" s="1789"/>
      <c r="L1025" s="1791"/>
      <c r="M1025" s="1772" t="s">
        <v>194</v>
      </c>
      <c r="N1025" s="1754" t="s">
        <v>1556</v>
      </c>
      <c r="O1025" s="1768"/>
      <c r="P1025" s="1768"/>
      <c r="Q1025" s="1768"/>
      <c r="R1025" s="1768"/>
      <c r="S1025" s="1768"/>
      <c r="T1025" s="1768"/>
      <c r="U1025" s="1768"/>
      <c r="V1025" s="1768"/>
      <c r="W1025" s="1768"/>
      <c r="X1025" s="1767"/>
      <c r="Y1025" s="1914"/>
      <c r="Z1025" s="1913"/>
      <c r="AA1025" s="1913"/>
      <c r="AB1025" s="1794"/>
      <c r="AC1025" s="1912"/>
      <c r="AD1025" s="1911"/>
      <c r="AE1025" s="1911"/>
      <c r="AF1025" s="1910"/>
      <c r="AI1025" s="1735" t="str">
        <f>"55:field190:" &amp; IF(I1025="■",1,IF(M1025="■",2,0))</f>
        <v>55:field190:0</v>
      </c>
    </row>
    <row r="1026" spans="1:35" s="1735" customFormat="1" ht="18.75" hidden="1" customHeight="1">
      <c r="A1026" s="1766"/>
      <c r="B1026" s="1765"/>
      <c r="C1026" s="1916"/>
      <c r="D1026" s="1915"/>
      <c r="E1026" s="1762"/>
      <c r="F1026" s="1776" t="s">
        <v>194</v>
      </c>
      <c r="G1026" s="1762" t="s">
        <v>1559</v>
      </c>
      <c r="H1026" s="1769" t="s">
        <v>1558</v>
      </c>
      <c r="I1026" s="1773" t="s">
        <v>194</v>
      </c>
      <c r="J1026" s="1754" t="s">
        <v>1557</v>
      </c>
      <c r="K1026" s="1789"/>
      <c r="L1026" s="1791"/>
      <c r="M1026" s="1772" t="s">
        <v>194</v>
      </c>
      <c r="N1026" s="1754" t="s">
        <v>1556</v>
      </c>
      <c r="O1026" s="1768"/>
      <c r="P1026" s="1768"/>
      <c r="Q1026" s="1768"/>
      <c r="R1026" s="1768"/>
      <c r="S1026" s="1768"/>
      <c r="T1026" s="1768"/>
      <c r="U1026" s="1768"/>
      <c r="V1026" s="1768"/>
      <c r="W1026" s="1768"/>
      <c r="X1026" s="1767"/>
      <c r="Y1026" s="1914"/>
      <c r="Z1026" s="1913"/>
      <c r="AA1026" s="1913"/>
      <c r="AB1026" s="1794"/>
      <c r="AC1026" s="1912"/>
      <c r="AD1026" s="1911"/>
      <c r="AE1026" s="1911"/>
      <c r="AF1026" s="1910"/>
      <c r="AI1026" s="1735" t="str">
        <f>"55:field191:" &amp; IF(I1026="■",1,IF(M1026="■",2,0))</f>
        <v>55:field191:0</v>
      </c>
    </row>
    <row r="1027" spans="1:35" s="1735" customFormat="1" ht="18.75" hidden="1" customHeight="1">
      <c r="A1027" s="1766"/>
      <c r="B1027" s="1765"/>
      <c r="C1027" s="1916"/>
      <c r="D1027" s="1915"/>
      <c r="E1027" s="1762"/>
      <c r="F1027" s="1761"/>
      <c r="G1027" s="1762"/>
      <c r="H1027" s="1769" t="s">
        <v>1555</v>
      </c>
      <c r="I1027" s="1758" t="s">
        <v>194</v>
      </c>
      <c r="J1027" s="1756" t="s">
        <v>750</v>
      </c>
      <c r="K1027" s="1755"/>
      <c r="L1027" s="1757" t="s">
        <v>194</v>
      </c>
      <c r="M1027" s="1756" t="s">
        <v>764</v>
      </c>
      <c r="N1027" s="1789"/>
      <c r="O1027" s="1768"/>
      <c r="P1027" s="1768"/>
      <c r="Q1027" s="1768"/>
      <c r="R1027" s="1768"/>
      <c r="S1027" s="1768"/>
      <c r="T1027" s="1768"/>
      <c r="U1027" s="1768"/>
      <c r="V1027" s="1768"/>
      <c r="W1027" s="1768"/>
      <c r="X1027" s="1767"/>
      <c r="Y1027" s="1914"/>
      <c r="Z1027" s="1913"/>
      <c r="AA1027" s="1913"/>
      <c r="AB1027" s="1794"/>
      <c r="AC1027" s="1912"/>
      <c r="AD1027" s="1911"/>
      <c r="AE1027" s="1911"/>
      <c r="AF1027" s="1910"/>
      <c r="AI1027" s="1735" t="str">
        <f>"55:jyakuninti_uke_code:" &amp; IF(I1027="■",1,IF(L1027="■",2,0))</f>
        <v>55:jyakuninti_uke_code:0</v>
      </c>
    </row>
    <row r="1028" spans="1:35" s="1735" customFormat="1" ht="18.75" hidden="1" customHeight="1">
      <c r="A1028" s="1766"/>
      <c r="B1028" s="1765"/>
      <c r="C1028" s="1916"/>
      <c r="D1028" s="1915"/>
      <c r="E1028" s="1762"/>
      <c r="F1028" s="1761"/>
      <c r="G1028" s="1762"/>
      <c r="H1028" s="1769" t="s">
        <v>786</v>
      </c>
      <c r="I1028" s="1758" t="s">
        <v>194</v>
      </c>
      <c r="J1028" s="1756" t="s">
        <v>750</v>
      </c>
      <c r="K1028" s="1755"/>
      <c r="L1028" s="1757" t="s">
        <v>194</v>
      </c>
      <c r="M1028" s="1756" t="s">
        <v>764</v>
      </c>
      <c r="N1028" s="1789"/>
      <c r="O1028" s="1768"/>
      <c r="P1028" s="1768"/>
      <c r="Q1028" s="1768"/>
      <c r="R1028" s="1768"/>
      <c r="S1028" s="1768"/>
      <c r="T1028" s="1768"/>
      <c r="U1028" s="1768"/>
      <c r="V1028" s="1768"/>
      <c r="W1028" s="1768"/>
      <c r="X1028" s="1767"/>
      <c r="Y1028" s="1914"/>
      <c r="Z1028" s="1913"/>
      <c r="AA1028" s="1913"/>
      <c r="AB1028" s="1794"/>
      <c r="AC1028" s="1912"/>
      <c r="AD1028" s="1911"/>
      <c r="AE1028" s="1911"/>
      <c r="AF1028" s="1910"/>
      <c r="AI1028" s="1735" t="str">
        <f>"55:field207:" &amp; IF(I1028="■",1,IF(L1028="■",2,0))</f>
        <v>55:field207:0</v>
      </c>
    </row>
    <row r="1029" spans="1:35" s="1735" customFormat="1" ht="18.75" hidden="1" customHeight="1">
      <c r="A1029" s="1766"/>
      <c r="B1029" s="1765"/>
      <c r="C1029" s="1916"/>
      <c r="D1029" s="1915"/>
      <c r="E1029" s="1762"/>
      <c r="F1029" s="1761"/>
      <c r="G1029" s="1762"/>
      <c r="H1029" s="1769" t="s">
        <v>787</v>
      </c>
      <c r="I1029" s="1758" t="s">
        <v>194</v>
      </c>
      <c r="J1029" s="1756" t="s">
        <v>750</v>
      </c>
      <c r="K1029" s="1755"/>
      <c r="L1029" s="1757" t="s">
        <v>194</v>
      </c>
      <c r="M1029" s="1756" t="s">
        <v>764</v>
      </c>
      <c r="N1029" s="1789"/>
      <c r="O1029" s="1768"/>
      <c r="P1029" s="1768"/>
      <c r="Q1029" s="1768"/>
      <c r="R1029" s="1768"/>
      <c r="S1029" s="1768"/>
      <c r="T1029" s="1768"/>
      <c r="U1029" s="1768"/>
      <c r="V1029" s="1768"/>
      <c r="W1029" s="1768"/>
      <c r="X1029" s="1767"/>
      <c r="Y1029" s="1914"/>
      <c r="Z1029" s="1913"/>
      <c r="AA1029" s="1913"/>
      <c r="AB1029" s="1794"/>
      <c r="AC1029" s="1912"/>
      <c r="AD1029" s="1911"/>
      <c r="AE1029" s="1911"/>
      <c r="AF1029" s="1910"/>
      <c r="AI1029" s="1735" t="str">
        <f>"55:ryouyoushoku_code:" &amp; IF(I1029="■",1,IF(L1029="■",2,0))</f>
        <v>55:ryouyoushoku_code:0</v>
      </c>
    </row>
    <row r="1030" spans="1:35" s="1735" customFormat="1" ht="18.75" hidden="1" customHeight="1">
      <c r="A1030" s="1766"/>
      <c r="B1030" s="1765"/>
      <c r="C1030" s="1916"/>
      <c r="D1030" s="1915"/>
      <c r="E1030" s="1762"/>
      <c r="F1030" s="1761"/>
      <c r="G1030" s="1762"/>
      <c r="H1030" s="1769" t="s">
        <v>791</v>
      </c>
      <c r="I1030" s="1773" t="s">
        <v>194</v>
      </c>
      <c r="J1030" s="1754" t="s">
        <v>750</v>
      </c>
      <c r="K1030" s="1754"/>
      <c r="L1030" s="1772" t="s">
        <v>194</v>
      </c>
      <c r="M1030" s="1754" t="s">
        <v>784</v>
      </c>
      <c r="N1030" s="1754"/>
      <c r="O1030" s="1772" t="s">
        <v>194</v>
      </c>
      <c r="P1030" s="1754" t="s">
        <v>785</v>
      </c>
      <c r="Q1030" s="1768"/>
      <c r="R1030" s="1789"/>
      <c r="S1030" s="1768"/>
      <c r="T1030" s="1768"/>
      <c r="U1030" s="1768"/>
      <c r="V1030" s="1768"/>
      <c r="W1030" s="1768"/>
      <c r="X1030" s="1767"/>
      <c r="Y1030" s="1914"/>
      <c r="Z1030" s="1913"/>
      <c r="AA1030" s="1913"/>
      <c r="AB1030" s="1794"/>
      <c r="AC1030" s="1912"/>
      <c r="AD1030" s="1911"/>
      <c r="AE1030" s="1911"/>
      <c r="AF1030" s="1910"/>
      <c r="AI1030" s="1735" t="str">
        <f>"55:ninti_senmoncare_code:" &amp; IF(I1030="■",1,IF(O1030="■",3,IF(L1030="■",2,0)))</f>
        <v>55:ninti_senmoncare_code:0</v>
      </c>
    </row>
    <row r="1031" spans="1:35" s="1735" customFormat="1" ht="18.75" hidden="1" customHeight="1">
      <c r="A1031" s="1766"/>
      <c r="B1031" s="1765"/>
      <c r="C1031" s="1916"/>
      <c r="D1031" s="1915"/>
      <c r="E1031" s="1762"/>
      <c r="F1031" s="1761"/>
      <c r="G1031" s="1762"/>
      <c r="H1031" s="1769" t="s">
        <v>792</v>
      </c>
      <c r="I1031" s="1773" t="s">
        <v>194</v>
      </c>
      <c r="J1031" s="1754" t="s">
        <v>750</v>
      </c>
      <c r="K1031" s="1754"/>
      <c r="L1031" s="1772" t="s">
        <v>194</v>
      </c>
      <c r="M1031" s="1754" t="s">
        <v>784</v>
      </c>
      <c r="N1031" s="1754"/>
      <c r="O1031" s="1772" t="s">
        <v>194</v>
      </c>
      <c r="P1031" s="1754" t="s">
        <v>785</v>
      </c>
      <c r="Q1031" s="1789"/>
      <c r="R1031" s="1789"/>
      <c r="S1031" s="1789"/>
      <c r="T1031" s="1789"/>
      <c r="U1031" s="1789"/>
      <c r="V1031" s="1789"/>
      <c r="W1031" s="1789"/>
      <c r="X1031" s="1918"/>
      <c r="Y1031" s="1914"/>
      <c r="Z1031" s="1913"/>
      <c r="AA1031" s="1913"/>
      <c r="AB1031" s="1794"/>
      <c r="AC1031" s="1912"/>
      <c r="AD1031" s="1911"/>
      <c r="AE1031" s="1911"/>
      <c r="AF1031" s="1910"/>
      <c r="AI1031" s="1735" t="str">
        <f>"55:field228:" &amp; IF(I1031="■",1,IF(L1031="■",2,IF(O1031="■",3,0)))</f>
        <v>55:field228:0</v>
      </c>
    </row>
    <row r="1032" spans="1:35" s="1735" customFormat="1" ht="18.75" hidden="1" customHeight="1">
      <c r="A1032" s="1766"/>
      <c r="B1032" s="1765"/>
      <c r="C1032" s="1916"/>
      <c r="D1032" s="1915"/>
      <c r="E1032" s="1762"/>
      <c r="F1032" s="1761"/>
      <c r="G1032" s="1762"/>
      <c r="H1032" s="1769" t="s">
        <v>1554</v>
      </c>
      <c r="I1032" s="1773" t="s">
        <v>194</v>
      </c>
      <c r="J1032" s="1754" t="s">
        <v>750</v>
      </c>
      <c r="K1032" s="1754"/>
      <c r="L1032" s="1772" t="s">
        <v>194</v>
      </c>
      <c r="M1032" s="1754" t="s">
        <v>784</v>
      </c>
      <c r="N1032" s="1754"/>
      <c r="O1032" s="1772" t="s">
        <v>194</v>
      </c>
      <c r="P1032" s="1754" t="s">
        <v>785</v>
      </c>
      <c r="Q1032" s="1768"/>
      <c r="R1032" s="1754"/>
      <c r="S1032" s="1771"/>
      <c r="T1032" s="1771"/>
      <c r="U1032" s="1771"/>
      <c r="V1032" s="1771"/>
      <c r="W1032" s="1771"/>
      <c r="X1032" s="1770"/>
      <c r="Y1032" s="1914"/>
      <c r="Z1032" s="1913"/>
      <c r="AA1032" s="1913"/>
      <c r="AB1032" s="1794"/>
      <c r="AC1032" s="1912"/>
      <c r="AD1032" s="1911"/>
      <c r="AE1032" s="1911"/>
      <c r="AF1032" s="1910"/>
      <c r="AI1032" s="1735" t="str">
        <f>"55:field164:" &amp; IF(I1032="■",1,IF(L1032="■",2,IF(O1032="■",3,0)))</f>
        <v>55:field164:0</v>
      </c>
    </row>
    <row r="1033" spans="1:35" s="1735" customFormat="1" ht="18.75" hidden="1" customHeight="1">
      <c r="A1033" s="1766"/>
      <c r="B1033" s="1765"/>
      <c r="C1033" s="1916"/>
      <c r="D1033" s="1915"/>
      <c r="E1033" s="1762"/>
      <c r="F1033" s="1761"/>
      <c r="G1033" s="1762"/>
      <c r="H1033" s="1769" t="s">
        <v>1124</v>
      </c>
      <c r="I1033" s="1773" t="s">
        <v>194</v>
      </c>
      <c r="J1033" s="1754" t="s">
        <v>750</v>
      </c>
      <c r="K1033" s="1754"/>
      <c r="L1033" s="1772" t="s">
        <v>194</v>
      </c>
      <c r="M1033" s="1756" t="s">
        <v>764</v>
      </c>
      <c r="N1033" s="1754"/>
      <c r="O1033" s="1754"/>
      <c r="P1033" s="1754"/>
      <c r="Q1033" s="1789"/>
      <c r="R1033" s="1789"/>
      <c r="S1033" s="1789"/>
      <c r="T1033" s="1789"/>
      <c r="U1033" s="1789"/>
      <c r="V1033" s="1789"/>
      <c r="W1033" s="1789"/>
      <c r="X1033" s="1918"/>
      <c r="Y1033" s="1914"/>
      <c r="Z1033" s="1913"/>
      <c r="AA1033" s="1913"/>
      <c r="AB1033" s="1794"/>
      <c r="AC1033" s="1912"/>
      <c r="AD1033" s="1911"/>
      <c r="AE1033" s="1911"/>
      <c r="AF1033" s="1910"/>
      <c r="AI1033" s="1735" t="str">
        <f>"55:field226:" &amp; IF(I1033="■",1,IF(L1033="■",2,0))</f>
        <v>55:field226:0</v>
      </c>
    </row>
    <row r="1034" spans="1:35" s="1735" customFormat="1" ht="18.75" hidden="1" customHeight="1">
      <c r="A1034" s="1766"/>
      <c r="B1034" s="1765"/>
      <c r="C1034" s="1916"/>
      <c r="D1034" s="1915"/>
      <c r="E1034" s="1762"/>
      <c r="F1034" s="1761"/>
      <c r="G1034" s="1762"/>
      <c r="H1034" s="1769" t="s">
        <v>1125</v>
      </c>
      <c r="I1034" s="1773" t="s">
        <v>194</v>
      </c>
      <c r="J1034" s="1754" t="s">
        <v>750</v>
      </c>
      <c r="K1034" s="1754"/>
      <c r="L1034" s="1772" t="s">
        <v>194</v>
      </c>
      <c r="M1034" s="1756" t="s">
        <v>764</v>
      </c>
      <c r="N1034" s="1754"/>
      <c r="O1034" s="1754"/>
      <c r="P1034" s="1754"/>
      <c r="Q1034" s="1789"/>
      <c r="R1034" s="1789"/>
      <c r="S1034" s="1789"/>
      <c r="T1034" s="1789"/>
      <c r="U1034" s="1789"/>
      <c r="V1034" s="1789"/>
      <c r="W1034" s="1789"/>
      <c r="X1034" s="1918"/>
      <c r="Y1034" s="1914"/>
      <c r="Z1034" s="1913"/>
      <c r="AA1034" s="1913"/>
      <c r="AB1034" s="1794"/>
      <c r="AC1034" s="1912"/>
      <c r="AD1034" s="1911"/>
      <c r="AE1034" s="1911"/>
      <c r="AF1034" s="1910"/>
      <c r="AI1034" s="1735" t="str">
        <f>"55:field227:" &amp; IF(I1034="■",1,IF(L1034="■",2,0))</f>
        <v>55:field227:0</v>
      </c>
    </row>
    <row r="1035" spans="1:35" s="1735" customFormat="1" ht="18.75" hidden="1" customHeight="1">
      <c r="A1035" s="1766"/>
      <c r="B1035" s="1765"/>
      <c r="C1035" s="1916"/>
      <c r="D1035" s="1915"/>
      <c r="E1035" s="1762"/>
      <c r="F1035" s="1761"/>
      <c r="G1035" s="1762"/>
      <c r="H1035" s="1917" t="s">
        <v>794</v>
      </c>
      <c r="I1035" s="1773" t="s">
        <v>194</v>
      </c>
      <c r="J1035" s="1754" t="s">
        <v>750</v>
      </c>
      <c r="K1035" s="1754"/>
      <c r="L1035" s="1772" t="s">
        <v>194</v>
      </c>
      <c r="M1035" s="1754" t="s">
        <v>784</v>
      </c>
      <c r="N1035" s="1754"/>
      <c r="O1035" s="1772" t="s">
        <v>194</v>
      </c>
      <c r="P1035" s="1754" t="s">
        <v>785</v>
      </c>
      <c r="Q1035" s="1768"/>
      <c r="R1035" s="1768"/>
      <c r="S1035" s="1768"/>
      <c r="T1035" s="1768"/>
      <c r="U1035" s="1829"/>
      <c r="V1035" s="1829"/>
      <c r="W1035" s="1829"/>
      <c r="X1035" s="1828"/>
      <c r="Y1035" s="1914"/>
      <c r="Z1035" s="1913"/>
      <c r="AA1035" s="1913"/>
      <c r="AB1035" s="1794"/>
      <c r="AC1035" s="1912"/>
      <c r="AD1035" s="1911"/>
      <c r="AE1035" s="1911"/>
      <c r="AF1035" s="1910"/>
      <c r="AI1035" s="1735" t="str">
        <f>"55:field225:" &amp; IF(I1035="■",1,IF(L1035="■",2,IF(O1035="■",3,0)))</f>
        <v>55:field225:0</v>
      </c>
    </row>
    <row r="1036" spans="1:35" s="1735" customFormat="1" ht="18.75" hidden="1" customHeight="1">
      <c r="A1036" s="1766"/>
      <c r="B1036" s="1765"/>
      <c r="C1036" s="1916"/>
      <c r="D1036" s="1915"/>
      <c r="E1036" s="1762"/>
      <c r="F1036" s="1761"/>
      <c r="G1036" s="1762"/>
      <c r="H1036" s="1769" t="s">
        <v>795</v>
      </c>
      <c r="I1036" s="1773" t="s">
        <v>194</v>
      </c>
      <c r="J1036" s="1754" t="s">
        <v>750</v>
      </c>
      <c r="K1036" s="1754"/>
      <c r="L1036" s="1772" t="s">
        <v>194</v>
      </c>
      <c r="M1036" s="1754" t="s">
        <v>796</v>
      </c>
      <c r="N1036" s="1754"/>
      <c r="O1036" s="1772" t="s">
        <v>194</v>
      </c>
      <c r="P1036" s="1754" t="s">
        <v>797</v>
      </c>
      <c r="Q1036" s="1771"/>
      <c r="R1036" s="1772" t="s">
        <v>194</v>
      </c>
      <c r="S1036" s="1754" t="s">
        <v>798</v>
      </c>
      <c r="T1036" s="1754"/>
      <c r="U1036" s="1754"/>
      <c r="V1036" s="1771"/>
      <c r="W1036" s="1771"/>
      <c r="X1036" s="1770"/>
      <c r="Y1036" s="1914"/>
      <c r="Z1036" s="1913"/>
      <c r="AA1036" s="1913"/>
      <c r="AB1036" s="1794"/>
      <c r="AC1036" s="1912"/>
      <c r="AD1036" s="1911"/>
      <c r="AE1036" s="1911"/>
      <c r="AF1036" s="1910"/>
      <c r="AI1036" s="1735" t="str">
        <f>"55:serteikyo_kyoka_code:" &amp; IF(I1036="■",1,IF(L1036="■",6,IF(O1036="■",5,IF(R1036="■",7,0))))</f>
        <v>55:serteikyo_kyoka_code:0</v>
      </c>
    </row>
    <row r="1037" spans="1:35" s="1735" customFormat="1" ht="18.75" hidden="1" customHeight="1">
      <c r="A1037" s="1752"/>
      <c r="B1037" s="1751"/>
      <c r="C1037" s="1750"/>
      <c r="D1037" s="1749"/>
      <c r="E1037" s="1748"/>
      <c r="F1037" s="1747"/>
      <c r="G1037" s="1808"/>
      <c r="H1037" s="1909" t="s">
        <v>1553</v>
      </c>
      <c r="I1037" s="1744" t="s">
        <v>194</v>
      </c>
      <c r="J1037" s="1905" t="s">
        <v>750</v>
      </c>
      <c r="K1037" s="1905"/>
      <c r="L1037" s="1743" t="s">
        <v>194</v>
      </c>
      <c r="M1037" s="1905" t="s">
        <v>1552</v>
      </c>
      <c r="N1037" s="1908"/>
      <c r="O1037" s="1743" t="s">
        <v>194</v>
      </c>
      <c r="P1037" s="1907" t="s">
        <v>1551</v>
      </c>
      <c r="Q1037" s="1906"/>
      <c r="R1037" s="1743" t="s">
        <v>194</v>
      </c>
      <c r="S1037" s="1905" t="s">
        <v>1550</v>
      </c>
      <c r="T1037" s="1906"/>
      <c r="U1037" s="1743" t="s">
        <v>194</v>
      </c>
      <c r="V1037" s="1905" t="s">
        <v>1549</v>
      </c>
      <c r="W1037" s="1904"/>
      <c r="X1037" s="1903"/>
      <c r="Y1037" s="1902"/>
      <c r="Z1037" s="1902"/>
      <c r="AA1037" s="1902"/>
      <c r="AB1037" s="1901"/>
      <c r="AC1037" s="1900"/>
      <c r="AD1037" s="1899"/>
      <c r="AE1037" s="1899"/>
      <c r="AF1037" s="1898"/>
      <c r="AI1037" s="1735" t="str">
        <f>"55:shoguukaizen_code:"&amp;IF(I1037="■",1,IF(L1037="■",7,IF(O1037="■",8,IF(R1037="■",9,IF(U1037="■","A",0)))))</f>
        <v>55:shoguukaizen_code:0</v>
      </c>
    </row>
    <row r="1038" spans="1:35" s="1735" customFormat="1" ht="20.25" customHeight="1">
      <c r="A1038" s="1736"/>
      <c r="B1038" s="1736"/>
      <c r="C1038" s="1734"/>
      <c r="D1038" s="1734"/>
      <c r="E1038" s="1734"/>
      <c r="F1038" s="1734"/>
      <c r="G1038" s="1734"/>
      <c r="H1038" s="1734"/>
      <c r="I1038" s="1734"/>
      <c r="J1038" s="1734"/>
      <c r="K1038" s="1734"/>
      <c r="L1038" s="1734"/>
      <c r="M1038" s="1734"/>
      <c r="N1038" s="1734"/>
      <c r="O1038" s="1734"/>
      <c r="P1038" s="1734"/>
      <c r="Q1038" s="1734"/>
      <c r="R1038" s="1734"/>
      <c r="S1038" s="1734"/>
      <c r="T1038" s="1734"/>
      <c r="U1038" s="1734"/>
      <c r="V1038" s="1734"/>
      <c r="W1038" s="1734"/>
      <c r="X1038" s="1734"/>
      <c r="Y1038" s="1734"/>
      <c r="Z1038" s="1734"/>
      <c r="AA1038" s="1734"/>
      <c r="AB1038" s="1734"/>
      <c r="AC1038" s="1734"/>
      <c r="AD1038" s="1734"/>
      <c r="AE1038" s="1734"/>
      <c r="AF1038" s="1734"/>
    </row>
    <row r="1039" spans="1:35" s="1735" customFormat="1" ht="36" hidden="1" customHeight="1">
      <c r="A1039" s="1897" t="s">
        <v>1548</v>
      </c>
      <c r="B1039" s="1897"/>
      <c r="C1039" s="1897"/>
      <c r="D1039" s="1897"/>
      <c r="E1039" s="1897"/>
      <c r="F1039" s="1897"/>
      <c r="G1039" s="1897"/>
      <c r="H1039" s="1897"/>
      <c r="I1039" s="1897"/>
      <c r="J1039" s="1897"/>
      <c r="K1039" s="1897"/>
      <c r="L1039" s="1897"/>
      <c r="M1039" s="1897"/>
      <c r="N1039" s="1897"/>
      <c r="O1039" s="1897"/>
      <c r="P1039" s="1897"/>
      <c r="Q1039" s="1897"/>
      <c r="R1039" s="1897"/>
      <c r="S1039" s="1897"/>
      <c r="T1039" s="1897"/>
      <c r="U1039" s="1897"/>
      <c r="V1039" s="1897"/>
      <c r="W1039" s="1897"/>
      <c r="X1039" s="1897"/>
      <c r="Y1039" s="1897"/>
      <c r="Z1039" s="1897"/>
      <c r="AA1039" s="1897"/>
      <c r="AB1039" s="1897"/>
      <c r="AC1039" s="1897"/>
      <c r="AD1039" s="1897"/>
      <c r="AE1039" s="1897"/>
      <c r="AF1039" s="1897"/>
    </row>
    <row r="1040" spans="1:35" s="1735" customFormat="1" ht="20.25" hidden="1" customHeight="1">
      <c r="A1040" s="1736"/>
      <c r="B1040" s="1736"/>
      <c r="C1040" s="1734"/>
      <c r="D1040" s="1734"/>
      <c r="E1040" s="1734"/>
      <c r="F1040" s="1734"/>
      <c r="G1040" s="1734"/>
      <c r="H1040" s="1734"/>
      <c r="I1040" s="1734"/>
      <c r="J1040" s="1734"/>
      <c r="K1040" s="1734"/>
      <c r="L1040" s="1734"/>
      <c r="M1040" s="1734"/>
      <c r="N1040" s="1734"/>
      <c r="O1040" s="1734"/>
      <c r="P1040" s="1734"/>
      <c r="Q1040" s="1734"/>
      <c r="R1040" s="1734"/>
      <c r="S1040" s="1734"/>
      <c r="T1040" s="1734"/>
      <c r="U1040" s="1734"/>
      <c r="V1040" s="1734"/>
      <c r="W1040" s="1734"/>
      <c r="X1040" s="1734"/>
      <c r="Y1040" s="1734"/>
      <c r="Z1040" s="1734"/>
      <c r="AA1040" s="1734"/>
      <c r="AB1040" s="1734"/>
      <c r="AC1040" s="1734"/>
      <c r="AD1040" s="1734"/>
      <c r="AE1040" s="1734"/>
      <c r="AF1040" s="1734"/>
      <c r="AG1040" s="1735" t="s">
        <v>1547</v>
      </c>
    </row>
    <row r="1041" spans="1:35" s="1735" customFormat="1" ht="30" hidden="1" customHeight="1">
      <c r="A1041" s="1736"/>
      <c r="B1041" s="1736"/>
      <c r="C1041" s="1734"/>
      <c r="D1041" s="1734"/>
      <c r="E1041" s="1734"/>
      <c r="F1041" s="1734"/>
      <c r="G1041" s="1734"/>
      <c r="H1041" s="1734"/>
      <c r="I1041" s="1734"/>
      <c r="J1041" s="1734"/>
      <c r="K1041" s="1734"/>
      <c r="L1041" s="1734"/>
      <c r="M1041" s="1734"/>
      <c r="N1041" s="1734"/>
      <c r="O1041" s="1734"/>
      <c r="P1041" s="1734"/>
      <c r="Q1041" s="1734"/>
      <c r="R1041" s="1734"/>
      <c r="S1041" s="1893" t="s">
        <v>731</v>
      </c>
      <c r="T1041" s="1892"/>
      <c r="U1041" s="1892"/>
      <c r="V1041" s="1891"/>
      <c r="W1041" s="1896"/>
      <c r="X1041" s="1895"/>
      <c r="Y1041" s="1895"/>
      <c r="Z1041" s="1895"/>
      <c r="AA1041" s="1895"/>
      <c r="AB1041" s="1895"/>
      <c r="AC1041" s="1895"/>
      <c r="AD1041" s="1895"/>
      <c r="AE1041" s="1895"/>
      <c r="AF1041" s="1894"/>
      <c r="AG1041" s="1735" t="str">
        <f>"kaigo_num='" &amp;W1041&amp;X1041&amp;Y1041&amp;Z1041&amp;AA1041&amp;AB1041&amp;AC1041&amp;AD1041&amp;AE1041&amp;AF1041&amp; "'"</f>
        <v>kaigo_num=''</v>
      </c>
    </row>
    <row r="1042" spans="1:35" s="1735" customFormat="1" ht="20.25" hidden="1" customHeight="1">
      <c r="A1042" s="1736"/>
      <c r="B1042" s="1736"/>
      <c r="C1042" s="1734"/>
      <c r="D1042" s="1734"/>
      <c r="E1042" s="1734"/>
      <c r="F1042" s="1734"/>
      <c r="G1042" s="1734"/>
      <c r="H1042" s="1734"/>
      <c r="I1042" s="1734"/>
      <c r="J1042" s="1734"/>
      <c r="K1042" s="1734"/>
      <c r="L1042" s="1734"/>
      <c r="M1042" s="1734"/>
      <c r="N1042" s="1734"/>
      <c r="O1042" s="1734"/>
      <c r="P1042" s="1734"/>
      <c r="Q1042" s="1734"/>
      <c r="R1042" s="1734"/>
      <c r="S1042" s="1734"/>
      <c r="T1042" s="1734"/>
      <c r="U1042" s="1734"/>
      <c r="V1042" s="1734"/>
      <c r="W1042" s="1734"/>
      <c r="X1042" s="1734"/>
      <c r="Y1042" s="1734"/>
      <c r="Z1042" s="1734"/>
      <c r="AA1042" s="1734"/>
      <c r="AB1042" s="1734"/>
      <c r="AC1042" s="1734"/>
      <c r="AD1042" s="1734"/>
      <c r="AE1042" s="1734"/>
      <c r="AF1042" s="1734"/>
    </row>
    <row r="1043" spans="1:35" s="1735" customFormat="1" ht="18" hidden="1" customHeight="1">
      <c r="A1043" s="1893" t="s">
        <v>1546</v>
      </c>
      <c r="B1043" s="1892"/>
      <c r="C1043" s="1891"/>
      <c r="D1043" s="1893" t="s">
        <v>1</v>
      </c>
      <c r="E1043" s="1891"/>
      <c r="F1043" s="1893" t="s">
        <v>733</v>
      </c>
      <c r="G1043" s="1891"/>
      <c r="H1043" s="1893" t="s">
        <v>734</v>
      </c>
      <c r="I1043" s="1892"/>
      <c r="J1043" s="1892"/>
      <c r="K1043" s="1892"/>
      <c r="L1043" s="1892"/>
      <c r="M1043" s="1892"/>
      <c r="N1043" s="1892"/>
      <c r="O1043" s="1892"/>
      <c r="P1043" s="1892"/>
      <c r="Q1043" s="1892"/>
      <c r="R1043" s="1892"/>
      <c r="S1043" s="1892"/>
      <c r="T1043" s="1892"/>
      <c r="U1043" s="1892"/>
      <c r="V1043" s="1892"/>
      <c r="W1043" s="1892"/>
      <c r="X1043" s="1892"/>
      <c r="Y1043" s="1892"/>
      <c r="Z1043" s="1892"/>
      <c r="AA1043" s="1892"/>
      <c r="AB1043" s="1892"/>
      <c r="AC1043" s="1892"/>
      <c r="AD1043" s="1892"/>
      <c r="AE1043" s="1892"/>
      <c r="AF1043" s="1891"/>
    </row>
    <row r="1044" spans="1:35" s="1735" customFormat="1" ht="18.75" hidden="1" customHeight="1">
      <c r="A1044" s="1890" t="s">
        <v>736</v>
      </c>
      <c r="B1044" s="1889"/>
      <c r="C1044" s="1888"/>
      <c r="D1044" s="1887"/>
      <c r="E1044" s="1886"/>
      <c r="F1044" s="1848"/>
      <c r="G1044" s="1886"/>
      <c r="H1044" s="1885" t="s">
        <v>737</v>
      </c>
      <c r="I1044" s="1878" t="s">
        <v>194</v>
      </c>
      <c r="J1044" s="1872" t="s">
        <v>738</v>
      </c>
      <c r="K1044" s="1884"/>
      <c r="L1044" s="1884"/>
      <c r="M1044" s="1878" t="s">
        <v>194</v>
      </c>
      <c r="N1044" s="1872" t="s">
        <v>739</v>
      </c>
      <c r="O1044" s="1884"/>
      <c r="P1044" s="1884"/>
      <c r="Q1044" s="1878" t="s">
        <v>194</v>
      </c>
      <c r="R1044" s="1872" t="s">
        <v>740</v>
      </c>
      <c r="S1044" s="1884"/>
      <c r="T1044" s="1884"/>
      <c r="U1044" s="1878" t="s">
        <v>194</v>
      </c>
      <c r="V1044" s="1872" t="s">
        <v>741</v>
      </c>
      <c r="W1044" s="1884"/>
      <c r="X1044" s="1884"/>
      <c r="Y1044" s="1872"/>
      <c r="Z1044" s="1872"/>
      <c r="AA1044" s="1872"/>
      <c r="AB1044" s="1872"/>
      <c r="AC1044" s="1872"/>
      <c r="AD1044" s="1872"/>
      <c r="AE1044" s="1872"/>
      <c r="AF1044" s="1802"/>
      <c r="AG1044" s="1735" t="str">
        <f>"tiikikbn_code:"&amp; IF(I1044="■",1,IF(M1044="■",6,IF(Q1044="■",7,IF(U1044="■",2,IF(I1045="■",3,IF(M1045="■",4,IF(Q1045="■",9,IF(U1045="■",5,0))))))))</f>
        <v>tiikikbn_code:0</v>
      </c>
    </row>
    <row r="1045" spans="1:35" s="1735" customFormat="1" ht="18.75" hidden="1" customHeight="1">
      <c r="A1045" s="1883"/>
      <c r="B1045" s="1882"/>
      <c r="C1045" s="1881"/>
      <c r="D1045" s="1880"/>
      <c r="E1045" s="1875"/>
      <c r="F1045" s="1749"/>
      <c r="G1045" s="1875"/>
      <c r="H1045" s="1879"/>
      <c r="I1045" s="1812" t="s">
        <v>194</v>
      </c>
      <c r="J1045" s="1809" t="s">
        <v>742</v>
      </c>
      <c r="K1045" s="1877"/>
      <c r="L1045" s="1877"/>
      <c r="M1045" s="1878" t="s">
        <v>194</v>
      </c>
      <c r="N1045" s="1809" t="s">
        <v>743</v>
      </c>
      <c r="O1045" s="1877"/>
      <c r="P1045" s="1877"/>
      <c r="Q1045" s="1878" t="s">
        <v>194</v>
      </c>
      <c r="R1045" s="1809" t="s">
        <v>744</v>
      </c>
      <c r="S1045" s="1877"/>
      <c r="T1045" s="1877"/>
      <c r="U1045" s="1878" t="s">
        <v>194</v>
      </c>
      <c r="V1045" s="1809" t="s">
        <v>745</v>
      </c>
      <c r="W1045" s="1877"/>
      <c r="X1045" s="1877"/>
      <c r="Y1045" s="1876"/>
      <c r="Z1045" s="1876"/>
      <c r="AA1045" s="1876"/>
      <c r="AB1045" s="1876"/>
      <c r="AC1045" s="1876"/>
      <c r="AD1045" s="1876"/>
      <c r="AE1045" s="1876"/>
      <c r="AF1045" s="1875"/>
    </row>
    <row r="1046" spans="1:35" s="1735" customFormat="1" ht="18.600000000000001" hidden="1" customHeight="1">
      <c r="A1046" s="1807"/>
      <c r="B1046" s="1806"/>
      <c r="C1046" s="1849"/>
      <c r="D1046" s="1848"/>
      <c r="E1046" s="1804"/>
      <c r="F1046" s="1803"/>
      <c r="G1046" s="1802"/>
      <c r="H1046" s="1874" t="s">
        <v>1545</v>
      </c>
      <c r="I1046" s="1873" t="s">
        <v>194</v>
      </c>
      <c r="J1046" s="1872" t="s">
        <v>1544</v>
      </c>
      <c r="K1046" s="1871"/>
      <c r="L1046" s="1871"/>
      <c r="M1046" s="1871"/>
      <c r="N1046" s="1871"/>
      <c r="O1046" s="1871"/>
      <c r="P1046" s="1871"/>
      <c r="Q1046" s="1871"/>
      <c r="R1046" s="1871"/>
      <c r="S1046" s="1871"/>
      <c r="T1046" s="1871"/>
      <c r="U1046" s="1871"/>
      <c r="V1046" s="1871"/>
      <c r="W1046" s="1871"/>
      <c r="X1046" s="1871"/>
      <c r="Y1046" s="1871"/>
      <c r="Z1046" s="1871"/>
      <c r="AA1046" s="1871"/>
      <c r="AB1046" s="1871"/>
      <c r="AC1046" s="1871"/>
      <c r="AD1046" s="1871"/>
      <c r="AE1046" s="1871"/>
      <c r="AF1046" s="1870"/>
      <c r="AG1046" s="1735" t="str">
        <f>"ser_code = '" &amp; IF(A1057="■","11S","") &amp; "'"</f>
        <v>ser_code = ''</v>
      </c>
      <c r="AI1046" s="1735" t="str">
        <f>"11S:sintaikaigo_taisei_code:" &amp; IF(I1046="■",1,IF(I1047="■",2,IF(I1048="■",3,0)))</f>
        <v>11S:sintaikaigo_taisei_code:0</v>
      </c>
    </row>
    <row r="1047" spans="1:35" s="1735" customFormat="1" ht="18.75" hidden="1" customHeight="1">
      <c r="A1047" s="1766"/>
      <c r="B1047" s="1765"/>
      <c r="C1047" s="1764"/>
      <c r="D1047" s="1763"/>
      <c r="E1047" s="1762"/>
      <c r="F1047" s="1761"/>
      <c r="G1047" s="1793"/>
      <c r="H1047" s="1852"/>
      <c r="I1047" s="1776" t="s">
        <v>194</v>
      </c>
      <c r="J1047" s="1734" t="s">
        <v>1543</v>
      </c>
      <c r="K1047" s="1851"/>
      <c r="L1047" s="1851"/>
      <c r="M1047" s="1851"/>
      <c r="N1047" s="1851"/>
      <c r="O1047" s="1851"/>
      <c r="P1047" s="1851"/>
      <c r="Q1047" s="1851"/>
      <c r="R1047" s="1851"/>
      <c r="S1047" s="1851"/>
      <c r="T1047" s="1851"/>
      <c r="U1047" s="1851"/>
      <c r="V1047" s="1851"/>
      <c r="W1047" s="1851"/>
      <c r="X1047" s="1851"/>
      <c r="Y1047" s="1851"/>
      <c r="Z1047" s="1851"/>
      <c r="AA1047" s="1851"/>
      <c r="AB1047" s="1851"/>
      <c r="AC1047" s="1851"/>
      <c r="AD1047" s="1851"/>
      <c r="AE1047" s="1851"/>
      <c r="AF1047" s="1850"/>
      <c r="AG1047" s="1735" t="str">
        <f>"11S:sisetukbn_code:" &amp; IF(AND(D1056="■",D1057="■",D1058="■"),"1;2;3",IF(AND(D1056="■",D1057="■"),"1;2",0))</f>
        <v>11S:sisetukbn_code:0</v>
      </c>
    </row>
    <row r="1048" spans="1:35" s="1735" customFormat="1" ht="18.75" hidden="1" customHeight="1">
      <c r="A1048" s="1766"/>
      <c r="B1048" s="1765"/>
      <c r="C1048" s="1764"/>
      <c r="D1048" s="1763"/>
      <c r="E1048" s="1762"/>
      <c r="F1048" s="1761"/>
      <c r="G1048" s="1793"/>
      <c r="H1048" s="1854"/>
      <c r="I1048" s="1758" t="s">
        <v>194</v>
      </c>
      <c r="J1048" s="1780" t="s">
        <v>1542</v>
      </c>
      <c r="K1048" s="1827"/>
      <c r="L1048" s="1827"/>
      <c r="M1048" s="1827"/>
      <c r="N1048" s="1827"/>
      <c r="O1048" s="1827"/>
      <c r="P1048" s="1827"/>
      <c r="Q1048" s="1827"/>
      <c r="R1048" s="1827"/>
      <c r="S1048" s="1827"/>
      <c r="T1048" s="1827"/>
      <c r="U1048" s="1827"/>
      <c r="V1048" s="1827"/>
      <c r="W1048" s="1827"/>
      <c r="X1048" s="1827"/>
      <c r="Y1048" s="1827"/>
      <c r="Z1048" s="1827"/>
      <c r="AA1048" s="1827"/>
      <c r="AB1048" s="1827"/>
      <c r="AC1048" s="1827"/>
      <c r="AD1048" s="1827"/>
      <c r="AE1048" s="1827"/>
      <c r="AF1048" s="1826"/>
    </row>
    <row r="1049" spans="1:35" s="1735" customFormat="1" ht="19.5" hidden="1" customHeight="1">
      <c r="A1049" s="1766"/>
      <c r="B1049" s="1765"/>
      <c r="C1049" s="1764"/>
      <c r="D1049" s="1763"/>
      <c r="E1049" s="1762"/>
      <c r="F1049" s="1761"/>
      <c r="G1049" s="1793"/>
      <c r="H1049" s="1792" t="s">
        <v>760</v>
      </c>
      <c r="I1049" s="1773" t="s">
        <v>194</v>
      </c>
      <c r="J1049" s="1754" t="s">
        <v>758</v>
      </c>
      <c r="K1049" s="1789"/>
      <c r="L1049" s="1791"/>
      <c r="M1049" s="1772" t="s">
        <v>194</v>
      </c>
      <c r="N1049" s="1754" t="s">
        <v>761</v>
      </c>
      <c r="O1049" s="1754"/>
      <c r="P1049" s="1754"/>
      <c r="Q1049" s="1768"/>
      <c r="R1049" s="1768"/>
      <c r="S1049" s="1768"/>
      <c r="T1049" s="1768"/>
      <c r="U1049" s="1768"/>
      <c r="V1049" s="1768"/>
      <c r="W1049" s="1768"/>
      <c r="X1049" s="1768"/>
      <c r="Y1049" s="1768"/>
      <c r="Z1049" s="1768"/>
      <c r="AA1049" s="1768"/>
      <c r="AB1049" s="1768"/>
      <c r="AC1049" s="1768"/>
      <c r="AD1049" s="1768"/>
      <c r="AE1049" s="1768"/>
      <c r="AF1049" s="1794"/>
      <c r="AI1049" s="1735" t="str">
        <f>"11S:field223:" &amp; IF(I1049="■",1,IF(M1049="■",2,0))</f>
        <v>11S:field223:0</v>
      </c>
    </row>
    <row r="1050" spans="1:35" s="1735" customFormat="1" ht="19.5" hidden="1" customHeight="1">
      <c r="A1050" s="1766"/>
      <c r="B1050" s="1765"/>
      <c r="C1050" s="1764"/>
      <c r="D1050" s="1763"/>
      <c r="E1050" s="1762"/>
      <c r="F1050" s="1761"/>
      <c r="G1050" s="1793"/>
      <c r="H1050" s="1843" t="s">
        <v>762</v>
      </c>
      <c r="I1050" s="1842" t="s">
        <v>194</v>
      </c>
      <c r="J1050" s="1837" t="s">
        <v>758</v>
      </c>
      <c r="K1050" s="1841"/>
      <c r="L1050" s="1840"/>
      <c r="M1050" s="1839" t="s">
        <v>194</v>
      </c>
      <c r="N1050" s="1837" t="s">
        <v>761</v>
      </c>
      <c r="O1050" s="1838"/>
      <c r="P1050" s="1837"/>
      <c r="Q1050" s="1835"/>
      <c r="R1050" s="1835"/>
      <c r="S1050" s="1835"/>
      <c r="T1050" s="1835"/>
      <c r="U1050" s="1835"/>
      <c r="V1050" s="1835"/>
      <c r="W1050" s="1835"/>
      <c r="X1050" s="1835"/>
      <c r="Y1050" s="1836"/>
      <c r="Z1050" s="1836"/>
      <c r="AA1050" s="1836"/>
      <c r="AB1050" s="1836"/>
      <c r="AC1050" s="1869"/>
      <c r="AD1050" s="1869"/>
      <c r="AE1050" s="1869"/>
      <c r="AF1050" s="1834"/>
      <c r="AI1050" s="1735" t="str">
        <f>"11S:field232:" &amp; IF(I1050="■",1,IF(M1050="■",2,0))</f>
        <v>11S:field232:0</v>
      </c>
    </row>
    <row r="1051" spans="1:35" s="1735" customFormat="1" ht="18.75" hidden="1" customHeight="1">
      <c r="A1051" s="1766"/>
      <c r="B1051" s="1765"/>
      <c r="C1051" s="1764"/>
      <c r="D1051" s="1763"/>
      <c r="E1051" s="1762"/>
      <c r="F1051" s="1761"/>
      <c r="G1051" s="1793"/>
      <c r="H1051" s="1853" t="s">
        <v>1541</v>
      </c>
      <c r="I1051" s="1787" t="s">
        <v>194</v>
      </c>
      <c r="J1051" s="1786" t="s">
        <v>750</v>
      </c>
      <c r="K1051" s="1786"/>
      <c r="L1051" s="1787" t="s">
        <v>194</v>
      </c>
      <c r="M1051" s="1786" t="s">
        <v>764</v>
      </c>
      <c r="N1051" s="1786"/>
      <c r="O1051" s="1785"/>
      <c r="P1051" s="1785"/>
      <c r="Q1051" s="1785"/>
      <c r="R1051" s="1785"/>
      <c r="S1051" s="1785"/>
      <c r="T1051" s="1785"/>
      <c r="U1051" s="1785"/>
      <c r="V1051" s="1785"/>
      <c r="W1051" s="1785"/>
      <c r="X1051" s="1785"/>
      <c r="Y1051" s="1785"/>
      <c r="Z1051" s="1785"/>
      <c r="AA1051" s="1785"/>
      <c r="AB1051" s="1785"/>
      <c r="AC1051" s="1785"/>
      <c r="AD1051" s="1785"/>
      <c r="AE1051" s="1785"/>
      <c r="AF1051" s="1784"/>
      <c r="AI1051" s="1735" t="str">
        <f>"11S:field179:" &amp; IF(I1051="■",1,IF(L1051="■",2,0))</f>
        <v>11S:field179:0</v>
      </c>
    </row>
    <row r="1052" spans="1:35" s="1735" customFormat="1" ht="18.75" hidden="1" customHeight="1">
      <c r="A1052" s="1766"/>
      <c r="B1052" s="1765"/>
      <c r="C1052" s="1764"/>
      <c r="D1052" s="1763"/>
      <c r="E1052" s="1762"/>
      <c r="F1052" s="1761"/>
      <c r="G1052" s="1793"/>
      <c r="H1052" s="1854"/>
      <c r="I1052" s="1782"/>
      <c r="J1052" s="1781"/>
      <c r="K1052" s="1781"/>
      <c r="L1052" s="1782"/>
      <c r="M1052" s="1781"/>
      <c r="N1052" s="1781"/>
      <c r="O1052" s="1780"/>
      <c r="P1052" s="1780"/>
      <c r="Q1052" s="1780"/>
      <c r="R1052" s="1780"/>
      <c r="S1052" s="1780"/>
      <c r="T1052" s="1780"/>
      <c r="U1052" s="1780"/>
      <c r="V1052" s="1780"/>
      <c r="W1052" s="1780"/>
      <c r="X1052" s="1780"/>
      <c r="Y1052" s="1780"/>
      <c r="Z1052" s="1780"/>
      <c r="AA1052" s="1780"/>
      <c r="AB1052" s="1780"/>
      <c r="AC1052" s="1780"/>
      <c r="AD1052" s="1780"/>
      <c r="AE1052" s="1780"/>
      <c r="AF1052" s="1779"/>
    </row>
    <row r="1053" spans="1:35" s="1735" customFormat="1" ht="18.75" hidden="1" customHeight="1">
      <c r="A1053" s="1766"/>
      <c r="B1053" s="1765"/>
      <c r="C1053" s="1764"/>
      <c r="D1053" s="1763"/>
      <c r="E1053" s="1762"/>
      <c r="F1053" s="1761"/>
      <c r="G1053" s="1793"/>
      <c r="H1053" s="1853" t="s">
        <v>1540</v>
      </c>
      <c r="I1053" s="1787" t="s">
        <v>194</v>
      </c>
      <c r="J1053" s="1786" t="s">
        <v>750</v>
      </c>
      <c r="K1053" s="1786"/>
      <c r="L1053" s="1787" t="s">
        <v>194</v>
      </c>
      <c r="M1053" s="1786" t="s">
        <v>764</v>
      </c>
      <c r="N1053" s="1786"/>
      <c r="O1053" s="1785"/>
      <c r="P1053" s="1785"/>
      <c r="Q1053" s="1785"/>
      <c r="R1053" s="1785"/>
      <c r="S1053" s="1785"/>
      <c r="T1053" s="1785"/>
      <c r="U1053" s="1785"/>
      <c r="V1053" s="1785"/>
      <c r="W1053" s="1785"/>
      <c r="X1053" s="1785"/>
      <c r="Y1053" s="1785"/>
      <c r="Z1053" s="1785"/>
      <c r="AA1053" s="1785"/>
      <c r="AB1053" s="1785"/>
      <c r="AC1053" s="1785"/>
      <c r="AD1053" s="1785"/>
      <c r="AE1053" s="1785"/>
      <c r="AF1053" s="1784"/>
      <c r="AI1053" s="1735" t="str">
        <f>"11S:field180:" &amp; IF(I1053="■",1,IF(L1053="■",2,0))</f>
        <v>11S:field180:0</v>
      </c>
    </row>
    <row r="1054" spans="1:35" s="1735" customFormat="1" ht="18.75" hidden="1" customHeight="1">
      <c r="A1054" s="1766"/>
      <c r="B1054" s="1765"/>
      <c r="C1054" s="1764"/>
      <c r="D1054" s="1763"/>
      <c r="E1054" s="1762"/>
      <c r="F1054" s="1761"/>
      <c r="G1054" s="1793"/>
      <c r="H1054" s="1854"/>
      <c r="I1054" s="1782"/>
      <c r="J1054" s="1781"/>
      <c r="K1054" s="1781"/>
      <c r="L1054" s="1782"/>
      <c r="M1054" s="1781"/>
      <c r="N1054" s="1781"/>
      <c r="O1054" s="1780"/>
      <c r="P1054" s="1780"/>
      <c r="Q1054" s="1780"/>
      <c r="R1054" s="1780"/>
      <c r="S1054" s="1780"/>
      <c r="T1054" s="1780"/>
      <c r="U1054" s="1780"/>
      <c r="V1054" s="1780"/>
      <c r="W1054" s="1780"/>
      <c r="X1054" s="1780"/>
      <c r="Y1054" s="1780"/>
      <c r="Z1054" s="1780"/>
      <c r="AA1054" s="1780"/>
      <c r="AB1054" s="1780"/>
      <c r="AC1054" s="1780"/>
      <c r="AD1054" s="1780"/>
      <c r="AE1054" s="1780"/>
      <c r="AF1054" s="1779"/>
    </row>
    <row r="1055" spans="1:35" s="1735" customFormat="1" ht="18.75" hidden="1" customHeight="1">
      <c r="A1055" s="1825"/>
      <c r="B1055" s="1765"/>
      <c r="C1055" s="1764"/>
      <c r="D1055" s="1816"/>
      <c r="E1055" s="1762"/>
      <c r="F1055" s="1761"/>
      <c r="G1055" s="1793"/>
      <c r="H1055" s="1788" t="s">
        <v>1539</v>
      </c>
      <c r="I1055" s="1868" t="s">
        <v>194</v>
      </c>
      <c r="J1055" s="1830" t="s">
        <v>1523</v>
      </c>
      <c r="K1055" s="1830"/>
      <c r="L1055" s="1830"/>
      <c r="M1055" s="1831" t="s">
        <v>194</v>
      </c>
      <c r="N1055" s="1830" t="s">
        <v>1522</v>
      </c>
      <c r="O1055" s="1830"/>
      <c r="P1055" s="1830"/>
      <c r="Q1055" s="1867"/>
      <c r="R1055" s="1867"/>
      <c r="S1055" s="1867"/>
      <c r="T1055" s="1867"/>
      <c r="U1055" s="1867"/>
      <c r="V1055" s="1867"/>
      <c r="W1055" s="1867"/>
      <c r="X1055" s="1867"/>
      <c r="Y1055" s="1867"/>
      <c r="Z1055" s="1867"/>
      <c r="AA1055" s="1867"/>
      <c r="AB1055" s="1867"/>
      <c r="AC1055" s="1867"/>
      <c r="AD1055" s="1867"/>
      <c r="AE1055" s="1867"/>
      <c r="AF1055" s="1866"/>
      <c r="AI1055" s="1735" t="str">
        <f>"11S:field233:" &amp; IF(I1055="■",1,IF(M1055="■",2,0))</f>
        <v>11S:field233:0</v>
      </c>
    </row>
    <row r="1056" spans="1:35" s="1735" customFormat="1" ht="19.5" hidden="1" customHeight="1">
      <c r="A1056" s="1766"/>
      <c r="B1056" s="1765"/>
      <c r="C1056" s="1764"/>
      <c r="D1056" s="1776" t="s">
        <v>194</v>
      </c>
      <c r="E1056" s="1762" t="s">
        <v>1538</v>
      </c>
      <c r="F1056" s="1761"/>
      <c r="G1056" s="1793"/>
      <c r="H1056" s="1783"/>
      <c r="I1056" s="1819"/>
      <c r="J1056" s="1781"/>
      <c r="K1056" s="1781"/>
      <c r="L1056" s="1781"/>
      <c r="M1056" s="1782"/>
      <c r="N1056" s="1781"/>
      <c r="O1056" s="1781"/>
      <c r="P1056" s="1781"/>
      <c r="Q1056" s="1865"/>
      <c r="R1056" s="1865"/>
      <c r="S1056" s="1865"/>
      <c r="T1056" s="1865"/>
      <c r="U1056" s="1865"/>
      <c r="V1056" s="1865"/>
      <c r="W1056" s="1865"/>
      <c r="X1056" s="1865"/>
      <c r="Y1056" s="1865"/>
      <c r="Z1056" s="1865"/>
      <c r="AA1056" s="1865"/>
      <c r="AB1056" s="1865"/>
      <c r="AC1056" s="1865"/>
      <c r="AD1056" s="1865"/>
      <c r="AE1056" s="1865"/>
      <c r="AF1056" s="1864"/>
    </row>
    <row r="1057" spans="1:35" s="1735" customFormat="1" ht="19.5" hidden="1" customHeight="1">
      <c r="A1057" s="1776" t="s">
        <v>194</v>
      </c>
      <c r="B1057" s="1765">
        <v>11</v>
      </c>
      <c r="C1057" s="1764" t="s">
        <v>2</v>
      </c>
      <c r="D1057" s="1776" t="s">
        <v>194</v>
      </c>
      <c r="E1057" s="1762" t="s">
        <v>1537</v>
      </c>
      <c r="F1057" s="1761"/>
      <c r="G1057" s="1793"/>
      <c r="H1057" s="1788" t="s">
        <v>1536</v>
      </c>
      <c r="I1057" s="1868" t="s">
        <v>194</v>
      </c>
      <c r="J1057" s="1830" t="s">
        <v>1523</v>
      </c>
      <c r="K1057" s="1830"/>
      <c r="L1057" s="1830"/>
      <c r="M1057" s="1831" t="s">
        <v>194</v>
      </c>
      <c r="N1057" s="1830" t="s">
        <v>1522</v>
      </c>
      <c r="O1057" s="1830"/>
      <c r="P1057" s="1830"/>
      <c r="Q1057" s="1867"/>
      <c r="R1057" s="1867"/>
      <c r="S1057" s="1867"/>
      <c r="T1057" s="1867"/>
      <c r="U1057" s="1867"/>
      <c r="V1057" s="1867"/>
      <c r="W1057" s="1867"/>
      <c r="X1057" s="1867"/>
      <c r="Y1057" s="1867"/>
      <c r="Z1057" s="1867"/>
      <c r="AA1057" s="1867"/>
      <c r="AB1057" s="1867"/>
      <c r="AC1057" s="1867"/>
      <c r="AD1057" s="1867"/>
      <c r="AE1057" s="1867"/>
      <c r="AF1057" s="1866"/>
      <c r="AI1057" s="1735" t="str">
        <f>"11S:field234:" &amp; IF(I1057="■",1,IF(M1057="■",2,0))</f>
        <v>11S:field234:0</v>
      </c>
    </row>
    <row r="1058" spans="1:35" s="1735" customFormat="1" ht="19.5" hidden="1" customHeight="1">
      <c r="A1058" s="1825"/>
      <c r="B1058" s="1765"/>
      <c r="C1058" s="1764"/>
      <c r="D1058" s="1776" t="s">
        <v>194</v>
      </c>
      <c r="E1058" s="1762" t="s">
        <v>1535</v>
      </c>
      <c r="F1058" s="1761"/>
      <c r="G1058" s="1793"/>
      <c r="H1058" s="1783"/>
      <c r="I1058" s="1819"/>
      <c r="J1058" s="1781"/>
      <c r="K1058" s="1781"/>
      <c r="L1058" s="1781"/>
      <c r="M1058" s="1782"/>
      <c r="N1058" s="1781"/>
      <c r="O1058" s="1781"/>
      <c r="P1058" s="1781"/>
      <c r="Q1058" s="1865"/>
      <c r="R1058" s="1865"/>
      <c r="S1058" s="1865"/>
      <c r="T1058" s="1865"/>
      <c r="U1058" s="1865"/>
      <c r="V1058" s="1865"/>
      <c r="W1058" s="1865"/>
      <c r="X1058" s="1865"/>
      <c r="Y1058" s="1865"/>
      <c r="Z1058" s="1865"/>
      <c r="AA1058" s="1865"/>
      <c r="AB1058" s="1865"/>
      <c r="AC1058" s="1865"/>
      <c r="AD1058" s="1865"/>
      <c r="AE1058" s="1865"/>
      <c r="AF1058" s="1864"/>
    </row>
    <row r="1059" spans="1:35" s="1735" customFormat="1" ht="19.5" hidden="1" customHeight="1">
      <c r="A1059" s="1825"/>
      <c r="B1059" s="1765"/>
      <c r="C1059" s="1764"/>
      <c r="D1059" s="1816"/>
      <c r="E1059" s="1762"/>
      <c r="F1059" s="1761"/>
      <c r="G1059" s="1793"/>
      <c r="H1059" s="1788" t="s">
        <v>1534</v>
      </c>
      <c r="I1059" s="1868" t="s">
        <v>194</v>
      </c>
      <c r="J1059" s="1830" t="s">
        <v>1523</v>
      </c>
      <c r="K1059" s="1830"/>
      <c r="L1059" s="1830"/>
      <c r="M1059" s="1831" t="s">
        <v>194</v>
      </c>
      <c r="N1059" s="1830" t="s">
        <v>1522</v>
      </c>
      <c r="O1059" s="1830"/>
      <c r="P1059" s="1830"/>
      <c r="Q1059" s="1867"/>
      <c r="R1059" s="1867"/>
      <c r="S1059" s="1867"/>
      <c r="T1059" s="1867"/>
      <c r="U1059" s="1867"/>
      <c r="V1059" s="1867"/>
      <c r="W1059" s="1867"/>
      <c r="X1059" s="1867"/>
      <c r="Y1059" s="1867"/>
      <c r="Z1059" s="1867"/>
      <c r="AA1059" s="1867"/>
      <c r="AB1059" s="1867"/>
      <c r="AC1059" s="1867"/>
      <c r="AD1059" s="1867"/>
      <c r="AE1059" s="1867"/>
      <c r="AF1059" s="1866"/>
      <c r="AI1059" s="1735" t="str">
        <f>"11S:field235:" &amp; IF(I1059="■",1,IF(M1059="■",2,0))</f>
        <v>11S:field235:0</v>
      </c>
    </row>
    <row r="1060" spans="1:35" s="1735" customFormat="1" ht="19.5" hidden="1" customHeight="1">
      <c r="A1060" s="1766"/>
      <c r="B1060" s="1765"/>
      <c r="C1060" s="1764"/>
      <c r="D1060" s="1734"/>
      <c r="E1060" s="1734"/>
      <c r="F1060" s="1761"/>
      <c r="G1060" s="1793"/>
      <c r="H1060" s="1783"/>
      <c r="I1060" s="1819"/>
      <c r="J1060" s="1781"/>
      <c r="K1060" s="1781"/>
      <c r="L1060" s="1781"/>
      <c r="M1060" s="1782"/>
      <c r="N1060" s="1781"/>
      <c r="O1060" s="1781"/>
      <c r="P1060" s="1781"/>
      <c r="Q1060" s="1865"/>
      <c r="R1060" s="1865"/>
      <c r="S1060" s="1865"/>
      <c r="T1060" s="1865"/>
      <c r="U1060" s="1865"/>
      <c r="V1060" s="1865"/>
      <c r="W1060" s="1865"/>
      <c r="X1060" s="1865"/>
      <c r="Y1060" s="1865"/>
      <c r="Z1060" s="1865"/>
      <c r="AA1060" s="1865"/>
      <c r="AB1060" s="1865"/>
      <c r="AC1060" s="1865"/>
      <c r="AD1060" s="1865"/>
      <c r="AE1060" s="1865"/>
      <c r="AF1060" s="1864"/>
    </row>
    <row r="1061" spans="1:35" s="1735" customFormat="1" ht="18.75" hidden="1" customHeight="1">
      <c r="A1061" s="1766"/>
      <c r="B1061" s="1765"/>
      <c r="C1061" s="1764"/>
      <c r="D1061" s="1734"/>
      <c r="E1061" s="1734"/>
      <c r="F1061" s="1761"/>
      <c r="G1061" s="1793"/>
      <c r="H1061" s="1863" t="s">
        <v>1529</v>
      </c>
      <c r="I1061" s="1758" t="s">
        <v>194</v>
      </c>
      <c r="J1061" s="1756" t="s">
        <v>750</v>
      </c>
      <c r="K1061" s="1755"/>
      <c r="L1061" s="1757" t="s">
        <v>194</v>
      </c>
      <c r="M1061" s="1756" t="s">
        <v>764</v>
      </c>
      <c r="N1061" s="1789"/>
      <c r="O1061" s="1768"/>
      <c r="P1061" s="1768"/>
      <c r="Q1061" s="1768"/>
      <c r="R1061" s="1768"/>
      <c r="S1061" s="1768"/>
      <c r="T1061" s="1768"/>
      <c r="U1061" s="1768"/>
      <c r="V1061" s="1768"/>
      <c r="W1061" s="1768"/>
      <c r="X1061" s="1768"/>
      <c r="Y1061" s="1768"/>
      <c r="Z1061" s="1768"/>
      <c r="AA1061" s="1768"/>
      <c r="AB1061" s="1768"/>
      <c r="AC1061" s="1768"/>
      <c r="AD1061" s="1768"/>
      <c r="AE1061" s="1768"/>
      <c r="AF1061" s="1767"/>
      <c r="AI1061" s="1735" t="str">
        <f>"11S:tokutiiki_code:" &amp; IF(I1061="■",1,IF(L1061="■",2,0))</f>
        <v>11S:tokutiiki_code:0</v>
      </c>
    </row>
    <row r="1062" spans="1:35" s="1735" customFormat="1" ht="18.75" hidden="1" customHeight="1">
      <c r="A1062" s="1766"/>
      <c r="B1062" s="1765"/>
      <c r="C1062" s="1764"/>
      <c r="D1062" s="1763"/>
      <c r="E1062" s="1762"/>
      <c r="F1062" s="1761"/>
      <c r="G1062" s="1793"/>
      <c r="H1062" s="1853" t="s">
        <v>1528</v>
      </c>
      <c r="I1062" s="1862" t="s">
        <v>194</v>
      </c>
      <c r="J1062" s="1830" t="s">
        <v>1523</v>
      </c>
      <c r="K1062" s="1830"/>
      <c r="L1062" s="1830"/>
      <c r="M1062" s="1862" t="s">
        <v>194</v>
      </c>
      <c r="N1062" s="1830" t="s">
        <v>1522</v>
      </c>
      <c r="O1062" s="1830"/>
      <c r="P1062" s="1830"/>
      <c r="Q1062" s="1829"/>
      <c r="R1062" s="1829"/>
      <c r="S1062" s="1829"/>
      <c r="T1062" s="1829"/>
      <c r="U1062" s="1829"/>
      <c r="V1062" s="1829"/>
      <c r="W1062" s="1829"/>
      <c r="X1062" s="1829"/>
      <c r="Y1062" s="1829"/>
      <c r="Z1062" s="1829"/>
      <c r="AA1062" s="1829"/>
      <c r="AB1062" s="1829"/>
      <c r="AC1062" s="1829"/>
      <c r="AD1062" s="1829"/>
      <c r="AE1062" s="1829"/>
      <c r="AF1062" s="1828"/>
      <c r="AI1062" s="1735" t="str">
        <f>"11S:chuusankanti_tiiki_code:" &amp; IF(I1062="■",1,IF(M1062="■",2,0))</f>
        <v>11S:chuusankanti_tiiki_code:0</v>
      </c>
    </row>
    <row r="1063" spans="1:35" s="1735" customFormat="1" ht="18.75" hidden="1" customHeight="1">
      <c r="A1063" s="1766"/>
      <c r="B1063" s="1765"/>
      <c r="C1063" s="1764"/>
      <c r="D1063" s="1763"/>
      <c r="E1063" s="1762"/>
      <c r="F1063" s="1761"/>
      <c r="G1063" s="1793"/>
      <c r="H1063" s="1854"/>
      <c r="I1063" s="1861"/>
      <c r="J1063" s="1781"/>
      <c r="K1063" s="1781"/>
      <c r="L1063" s="1781"/>
      <c r="M1063" s="1861"/>
      <c r="N1063" s="1781"/>
      <c r="O1063" s="1781"/>
      <c r="P1063" s="1781"/>
      <c r="Q1063" s="1827"/>
      <c r="R1063" s="1827"/>
      <c r="S1063" s="1827"/>
      <c r="T1063" s="1827"/>
      <c r="U1063" s="1827"/>
      <c r="V1063" s="1827"/>
      <c r="W1063" s="1827"/>
      <c r="X1063" s="1827"/>
      <c r="Y1063" s="1827"/>
      <c r="Z1063" s="1827"/>
      <c r="AA1063" s="1827"/>
      <c r="AB1063" s="1827"/>
      <c r="AC1063" s="1827"/>
      <c r="AD1063" s="1827"/>
      <c r="AE1063" s="1827"/>
      <c r="AF1063" s="1826"/>
    </row>
    <row r="1064" spans="1:35" s="1735" customFormat="1" ht="18.75" hidden="1" customHeight="1">
      <c r="A1064" s="1766"/>
      <c r="B1064" s="1765"/>
      <c r="C1064" s="1764"/>
      <c r="D1064" s="1763"/>
      <c r="E1064" s="1762"/>
      <c r="F1064" s="1761"/>
      <c r="G1064" s="1793"/>
      <c r="H1064" s="1853" t="s">
        <v>1524</v>
      </c>
      <c r="I1064" s="1862" t="s">
        <v>194</v>
      </c>
      <c r="J1064" s="1830" t="s">
        <v>1523</v>
      </c>
      <c r="K1064" s="1830"/>
      <c r="L1064" s="1830"/>
      <c r="M1064" s="1862" t="s">
        <v>194</v>
      </c>
      <c r="N1064" s="1830" t="s">
        <v>1522</v>
      </c>
      <c r="O1064" s="1830"/>
      <c r="P1064" s="1830"/>
      <c r="Q1064" s="1829"/>
      <c r="R1064" s="1829"/>
      <c r="S1064" s="1829"/>
      <c r="T1064" s="1829"/>
      <c r="U1064" s="1829"/>
      <c r="V1064" s="1829"/>
      <c r="W1064" s="1829"/>
      <c r="X1064" s="1829"/>
      <c r="Y1064" s="1829"/>
      <c r="Z1064" s="1829"/>
      <c r="AA1064" s="1829"/>
      <c r="AB1064" s="1829"/>
      <c r="AC1064" s="1829"/>
      <c r="AD1064" s="1829"/>
      <c r="AE1064" s="1829"/>
      <c r="AF1064" s="1828"/>
      <c r="AI1064" s="1735" t="str">
        <f>"11S:chuusankanti_kibo_code:" &amp; IF(I1064="■",1,IF(M1064="■",2,0))</f>
        <v>11S:chuusankanti_kibo_code:0</v>
      </c>
    </row>
    <row r="1065" spans="1:35" s="1735" customFormat="1" ht="18.75" hidden="1" customHeight="1">
      <c r="A1065" s="1766"/>
      <c r="B1065" s="1765"/>
      <c r="C1065" s="1764"/>
      <c r="D1065" s="1763"/>
      <c r="E1065" s="1762"/>
      <c r="F1065" s="1761"/>
      <c r="G1065" s="1793"/>
      <c r="H1065" s="1854"/>
      <c r="I1065" s="1861"/>
      <c r="J1065" s="1781"/>
      <c r="K1065" s="1781"/>
      <c r="L1065" s="1781"/>
      <c r="M1065" s="1861"/>
      <c r="N1065" s="1781"/>
      <c r="O1065" s="1781"/>
      <c r="P1065" s="1781"/>
      <c r="Q1065" s="1827"/>
      <c r="R1065" s="1827"/>
      <c r="S1065" s="1827"/>
      <c r="T1065" s="1827"/>
      <c r="U1065" s="1827"/>
      <c r="V1065" s="1827"/>
      <c r="W1065" s="1827"/>
      <c r="X1065" s="1827"/>
      <c r="Y1065" s="1827"/>
      <c r="Z1065" s="1827"/>
      <c r="AA1065" s="1827"/>
      <c r="AB1065" s="1827"/>
      <c r="AC1065" s="1827"/>
      <c r="AD1065" s="1827"/>
      <c r="AE1065" s="1827"/>
      <c r="AF1065" s="1826"/>
    </row>
    <row r="1066" spans="1:35" s="1735" customFormat="1" ht="19.5" hidden="1" customHeight="1">
      <c r="A1066" s="1766"/>
      <c r="B1066" s="1765"/>
      <c r="C1066" s="1764"/>
      <c r="D1066" s="1763"/>
      <c r="E1066" s="1762"/>
      <c r="F1066" s="1761"/>
      <c r="G1066" s="1793"/>
      <c r="H1066" s="1792" t="s">
        <v>1516</v>
      </c>
      <c r="I1066" s="1773" t="s">
        <v>194</v>
      </c>
      <c r="J1066" s="1754" t="s">
        <v>750</v>
      </c>
      <c r="K1066" s="1754"/>
      <c r="L1066" s="1772" t="s">
        <v>194</v>
      </c>
      <c r="M1066" s="1754" t="s">
        <v>764</v>
      </c>
      <c r="N1066" s="1754"/>
      <c r="O1066" s="1768"/>
      <c r="P1066" s="1754"/>
      <c r="Q1066" s="1768"/>
      <c r="R1066" s="1768"/>
      <c r="S1066" s="1768"/>
      <c r="T1066" s="1768"/>
      <c r="U1066" s="1768"/>
      <c r="V1066" s="1768"/>
      <c r="W1066" s="1768"/>
      <c r="X1066" s="1768"/>
      <c r="Y1066" s="1768"/>
      <c r="Z1066" s="1768"/>
      <c r="AA1066" s="1768"/>
      <c r="AB1066" s="1768"/>
      <c r="AC1066" s="1768"/>
      <c r="AD1066" s="1768"/>
      <c r="AE1066" s="1768"/>
      <c r="AF1066" s="1790"/>
      <c r="AI1066" s="1735" t="str">
        <f>"11S:field224:" &amp; IF(I1066="■",1,IF(L1066="■",2,0))</f>
        <v>11S:field224:0</v>
      </c>
    </row>
    <row r="1067" spans="1:35" s="1735" customFormat="1" ht="18.75" hidden="1" customHeight="1">
      <c r="A1067" s="1752"/>
      <c r="B1067" s="1751"/>
      <c r="C1067" s="1750"/>
      <c r="D1067" s="1749"/>
      <c r="E1067" s="1748"/>
      <c r="F1067" s="1747"/>
      <c r="G1067" s="1808"/>
      <c r="H1067" s="1750" t="s">
        <v>791</v>
      </c>
      <c r="I1067" s="1812" t="s">
        <v>194</v>
      </c>
      <c r="J1067" s="1809" t="s">
        <v>750</v>
      </c>
      <c r="K1067" s="1809"/>
      <c r="L1067" s="1811" t="s">
        <v>194</v>
      </c>
      <c r="M1067" s="1809" t="s">
        <v>784</v>
      </c>
      <c r="N1067" s="1809"/>
      <c r="O1067" s="1811" t="s">
        <v>194</v>
      </c>
      <c r="P1067" s="1809" t="s">
        <v>785</v>
      </c>
      <c r="Q1067" s="1860"/>
      <c r="R1067" s="1860"/>
      <c r="S1067" s="1860"/>
      <c r="T1067" s="1860"/>
      <c r="U1067" s="1860"/>
      <c r="V1067" s="1860"/>
      <c r="W1067" s="1860"/>
      <c r="X1067" s="1860"/>
      <c r="Y1067" s="1860"/>
      <c r="Z1067" s="1860"/>
      <c r="AA1067" s="1860"/>
      <c r="AB1067" s="1860"/>
      <c r="AC1067" s="1860"/>
      <c r="AD1067" s="1860"/>
      <c r="AE1067" s="1860"/>
      <c r="AF1067" s="1859"/>
      <c r="AI1067" s="1735" t="str">
        <f>"11S:ninti_senmoncare_code:" &amp; IF(I1067="■",1,IF(O1067="■",3,IF(L1067="■",2,0)))</f>
        <v>11S:ninti_senmoncare_code:0</v>
      </c>
    </row>
    <row r="1068" spans="1:35" s="835" customFormat="1" ht="18.75" hidden="1" customHeight="1">
      <c r="A1068" s="338"/>
      <c r="B1068" s="833"/>
      <c r="C1068" s="341"/>
      <c r="D1068" s="834"/>
      <c r="E1068" s="836"/>
      <c r="F1068" s="425"/>
      <c r="G1068" s="385"/>
      <c r="H1068" s="1843" t="s">
        <v>762</v>
      </c>
      <c r="I1068" s="1842" t="s">
        <v>194</v>
      </c>
      <c r="J1068" s="1837" t="s">
        <v>758</v>
      </c>
      <c r="K1068" s="1841"/>
      <c r="L1068" s="1840"/>
      <c r="M1068" s="1839" t="s">
        <v>194</v>
      </c>
      <c r="N1068" s="1837" t="s">
        <v>761</v>
      </c>
      <c r="O1068" s="1858"/>
      <c r="P1068" s="1858"/>
      <c r="Q1068" s="1858"/>
      <c r="R1068" s="1858"/>
      <c r="S1068" s="1858"/>
      <c r="T1068" s="1858"/>
      <c r="U1068" s="1858"/>
      <c r="V1068" s="1858"/>
      <c r="W1068" s="1858"/>
      <c r="X1068" s="1858"/>
      <c r="Y1068" s="1857"/>
      <c r="Z1068" s="1857"/>
      <c r="AA1068" s="1857"/>
      <c r="AB1068" s="1857"/>
      <c r="AC1068" s="1857"/>
      <c r="AD1068" s="1857"/>
      <c r="AE1068" s="1857"/>
      <c r="AF1068" s="1856"/>
      <c r="AG1068" s="835" t="str">
        <f>"ser_code = '" &amp; IF(A1071="■","13S","") &amp; "'"</f>
        <v>ser_code = ''</v>
      </c>
      <c r="AI1068" s="1735" t="str">
        <f>"13S:field232:" &amp; IF(I1068="■",1,IF(M1068="■",2,0))</f>
        <v>13S:field232:0</v>
      </c>
    </row>
    <row r="1069" spans="1:35" s="1735" customFormat="1" ht="18.75" hidden="1" customHeight="1">
      <c r="A1069" s="1766"/>
      <c r="B1069" s="1765"/>
      <c r="C1069" s="1764"/>
      <c r="D1069" s="1763"/>
      <c r="E1069" s="1762"/>
      <c r="F1069" s="1761"/>
      <c r="G1069" s="1793"/>
      <c r="H1069" s="1855" t="s">
        <v>1533</v>
      </c>
      <c r="I1069" s="1758" t="s">
        <v>194</v>
      </c>
      <c r="J1069" s="1756" t="s">
        <v>750</v>
      </c>
      <c r="K1069" s="1755"/>
      <c r="L1069" s="1757" t="s">
        <v>194</v>
      </c>
      <c r="M1069" s="1756" t="s">
        <v>764</v>
      </c>
      <c r="N1069" s="1755"/>
      <c r="O1069" s="1827"/>
      <c r="P1069" s="1827"/>
      <c r="Q1069" s="1827"/>
      <c r="R1069" s="1827"/>
      <c r="S1069" s="1827"/>
      <c r="T1069" s="1827"/>
      <c r="U1069" s="1827"/>
      <c r="V1069" s="1827"/>
      <c r="W1069" s="1827"/>
      <c r="X1069" s="1827"/>
      <c r="Y1069" s="1827"/>
      <c r="Z1069" s="1827"/>
      <c r="AA1069" s="1827"/>
      <c r="AB1069" s="1827"/>
      <c r="AC1069" s="1827"/>
      <c r="AD1069" s="1827"/>
      <c r="AE1069" s="1827"/>
      <c r="AF1069" s="1826"/>
      <c r="AG1069" s="1735" t="str">
        <f>"13S:sisetukbn_code:" &amp; IF(D1070="■",1,IF(D1071="■",2,IF(D1072="■",3,0)))</f>
        <v>13S:sisetukbn_code:0</v>
      </c>
      <c r="AI1069" s="1735" t="str">
        <f>"13S:tokutiiki_code:" &amp; IF(I1069="■",1,IF(L1069="■",2,0))</f>
        <v>13S:tokutiiki_code:0</v>
      </c>
    </row>
    <row r="1070" spans="1:35" s="1735" customFormat="1" ht="18.75" hidden="1" customHeight="1">
      <c r="A1070" s="1766"/>
      <c r="B1070" s="1765"/>
      <c r="C1070" s="1764"/>
      <c r="D1070" s="1776" t="s">
        <v>194</v>
      </c>
      <c r="E1070" s="1762" t="s">
        <v>1532</v>
      </c>
      <c r="F1070" s="1761"/>
      <c r="G1070" s="1760"/>
      <c r="H1070" s="1853" t="s">
        <v>1528</v>
      </c>
      <c r="I1070" s="1831" t="s">
        <v>194</v>
      </c>
      <c r="J1070" s="1830" t="s">
        <v>1523</v>
      </c>
      <c r="K1070" s="1830"/>
      <c r="L1070" s="1830"/>
      <c r="M1070" s="1831" t="s">
        <v>194</v>
      </c>
      <c r="N1070" s="1830" t="s">
        <v>1522</v>
      </c>
      <c r="O1070" s="1830"/>
      <c r="P1070" s="1830"/>
      <c r="Q1070" s="1829"/>
      <c r="R1070" s="1829"/>
      <c r="S1070" s="1829"/>
      <c r="T1070" s="1829"/>
      <c r="U1070" s="1829"/>
      <c r="V1070" s="1829"/>
      <c r="W1070" s="1829"/>
      <c r="X1070" s="1829"/>
      <c r="Y1070" s="1829"/>
      <c r="Z1070" s="1829"/>
      <c r="AA1070" s="1829"/>
      <c r="AB1070" s="1829"/>
      <c r="AC1070" s="1829"/>
      <c r="AD1070" s="1829"/>
      <c r="AE1070" s="1829"/>
      <c r="AF1070" s="1828"/>
      <c r="AI1070" s="1735" t="str">
        <f>"13S:chuusankanti_tiiki_code:" &amp; IF(I1070="■",1,IF(M1070="■",2,0))</f>
        <v>13S:chuusankanti_tiiki_code:0</v>
      </c>
    </row>
    <row r="1071" spans="1:35" s="1735" customFormat="1" ht="18.75" hidden="1" customHeight="1">
      <c r="A1071" s="1776" t="s">
        <v>194</v>
      </c>
      <c r="B1071" s="1765">
        <v>13</v>
      </c>
      <c r="C1071" s="1764" t="s">
        <v>247</v>
      </c>
      <c r="D1071" s="1776" t="s">
        <v>194</v>
      </c>
      <c r="E1071" s="1762" t="s">
        <v>1531</v>
      </c>
      <c r="F1071" s="1761"/>
      <c r="G1071" s="1760"/>
      <c r="H1071" s="1854"/>
      <c r="I1071" s="1782"/>
      <c r="J1071" s="1781"/>
      <c r="K1071" s="1781"/>
      <c r="L1071" s="1781"/>
      <c r="M1071" s="1782"/>
      <c r="N1071" s="1781"/>
      <c r="O1071" s="1781"/>
      <c r="P1071" s="1781"/>
      <c r="Q1071" s="1827"/>
      <c r="R1071" s="1827"/>
      <c r="S1071" s="1827"/>
      <c r="T1071" s="1827"/>
      <c r="U1071" s="1827"/>
      <c r="V1071" s="1827"/>
      <c r="W1071" s="1827"/>
      <c r="X1071" s="1827"/>
      <c r="Y1071" s="1827"/>
      <c r="Z1071" s="1827"/>
      <c r="AA1071" s="1827"/>
      <c r="AB1071" s="1827"/>
      <c r="AC1071" s="1827"/>
      <c r="AD1071" s="1827"/>
      <c r="AE1071" s="1827"/>
      <c r="AF1071" s="1826"/>
    </row>
    <row r="1072" spans="1:35" s="1735" customFormat="1" ht="18.75" hidden="1" customHeight="1">
      <c r="A1072" s="1766"/>
      <c r="B1072" s="1765"/>
      <c r="C1072" s="1764"/>
      <c r="D1072" s="1776" t="s">
        <v>194</v>
      </c>
      <c r="E1072" s="1762" t="s">
        <v>1530</v>
      </c>
      <c r="F1072" s="1761"/>
      <c r="G1072" s="1760"/>
      <c r="H1072" s="1853" t="s">
        <v>1524</v>
      </c>
      <c r="I1072" s="1831" t="s">
        <v>194</v>
      </c>
      <c r="J1072" s="1830" t="s">
        <v>1523</v>
      </c>
      <c r="K1072" s="1830"/>
      <c r="L1072" s="1830"/>
      <c r="M1072" s="1831" t="s">
        <v>194</v>
      </c>
      <c r="N1072" s="1830" t="s">
        <v>1522</v>
      </c>
      <c r="O1072" s="1830"/>
      <c r="P1072" s="1830"/>
      <c r="Q1072" s="1829"/>
      <c r="R1072" s="1829"/>
      <c r="S1072" s="1829"/>
      <c r="T1072" s="1829"/>
      <c r="U1072" s="1829"/>
      <c r="V1072" s="1829"/>
      <c r="W1072" s="1829"/>
      <c r="X1072" s="1829"/>
      <c r="Y1072" s="1829"/>
      <c r="Z1072" s="1829"/>
      <c r="AA1072" s="1829"/>
      <c r="AB1072" s="1829"/>
      <c r="AC1072" s="1829"/>
      <c r="AD1072" s="1829"/>
      <c r="AE1072" s="1829"/>
      <c r="AF1072" s="1828"/>
      <c r="AI1072" s="1735" t="str">
        <f>"13S:chuusankanti_kibo_code:" &amp; IF(I1072="■",1,IF(M1072="■",2,0))</f>
        <v>13S:chuusankanti_kibo_code:0</v>
      </c>
    </row>
    <row r="1073" spans="1:35" s="1735" customFormat="1" ht="18.75" hidden="1" customHeight="1">
      <c r="A1073" s="1766"/>
      <c r="B1073" s="1765"/>
      <c r="C1073" s="1764"/>
      <c r="D1073" s="1763"/>
      <c r="E1073" s="1762"/>
      <c r="F1073" s="1761"/>
      <c r="G1073" s="1760"/>
      <c r="H1073" s="1852"/>
      <c r="I1073" s="1787"/>
      <c r="J1073" s="1786"/>
      <c r="K1073" s="1786"/>
      <c r="L1073" s="1786"/>
      <c r="M1073" s="1787"/>
      <c r="N1073" s="1786"/>
      <c r="O1073" s="1786"/>
      <c r="P1073" s="1786"/>
      <c r="Q1073" s="1851"/>
      <c r="R1073" s="1851"/>
      <c r="S1073" s="1851"/>
      <c r="T1073" s="1851"/>
      <c r="U1073" s="1851"/>
      <c r="V1073" s="1851"/>
      <c r="W1073" s="1851"/>
      <c r="X1073" s="1851"/>
      <c r="Y1073" s="1851"/>
      <c r="Z1073" s="1851"/>
      <c r="AA1073" s="1851"/>
      <c r="AB1073" s="1851"/>
      <c r="AC1073" s="1851"/>
      <c r="AD1073" s="1851"/>
      <c r="AE1073" s="1851"/>
      <c r="AF1073" s="1850"/>
    </row>
    <row r="1074" spans="1:35" s="1735" customFormat="1" ht="19.5" hidden="1" customHeight="1">
      <c r="A1074" s="1807"/>
      <c r="B1074" s="1806"/>
      <c r="C1074" s="1849"/>
      <c r="D1074" s="1848"/>
      <c r="E1074" s="1804"/>
      <c r="F1074" s="1803"/>
      <c r="G1074" s="1802"/>
      <c r="H1074" s="1847" t="s">
        <v>760</v>
      </c>
      <c r="I1074" s="1800" t="s">
        <v>194</v>
      </c>
      <c r="J1074" s="1799" t="s">
        <v>758</v>
      </c>
      <c r="K1074" s="1846"/>
      <c r="L1074" s="1845"/>
      <c r="M1074" s="1798" t="s">
        <v>194</v>
      </c>
      <c r="N1074" s="1799" t="s">
        <v>761</v>
      </c>
      <c r="O1074" s="1799"/>
      <c r="P1074" s="1799"/>
      <c r="Q1074" s="1796"/>
      <c r="R1074" s="1796"/>
      <c r="S1074" s="1796"/>
      <c r="T1074" s="1796"/>
      <c r="U1074" s="1796"/>
      <c r="V1074" s="1796"/>
      <c r="W1074" s="1796"/>
      <c r="X1074" s="1796"/>
      <c r="Y1074" s="1796"/>
      <c r="Z1074" s="1796"/>
      <c r="AA1074" s="1796"/>
      <c r="AB1074" s="1796"/>
      <c r="AC1074" s="1796"/>
      <c r="AD1074" s="1796"/>
      <c r="AE1074" s="1796"/>
      <c r="AF1074" s="1844"/>
      <c r="AG1074" s="1735" t="str">
        <f>"ser_code = '" &amp; IF(A1079="■","14S","") &amp; "'"</f>
        <v>ser_code = ''</v>
      </c>
      <c r="AI1074" s="1735" t="str">
        <f>"14S:field223:" &amp; IF(I1074="■",1,IF(M1074="■",2,0))</f>
        <v>14S:field223:0</v>
      </c>
    </row>
    <row r="1075" spans="1:35" s="1735" customFormat="1" ht="19.5" hidden="1" customHeight="1">
      <c r="A1075" s="1766"/>
      <c r="B1075" s="1765"/>
      <c r="C1075" s="1764"/>
      <c r="D1075" s="1763"/>
      <c r="E1075" s="1762"/>
      <c r="F1075" s="1761"/>
      <c r="G1075" s="1793"/>
      <c r="H1075" s="1843" t="s">
        <v>762</v>
      </c>
      <c r="I1075" s="1842" t="s">
        <v>194</v>
      </c>
      <c r="J1075" s="1837" t="s">
        <v>758</v>
      </c>
      <c r="K1075" s="1841"/>
      <c r="L1075" s="1840"/>
      <c r="M1075" s="1839" t="s">
        <v>194</v>
      </c>
      <c r="N1075" s="1837" t="s">
        <v>761</v>
      </c>
      <c r="O1075" s="1838"/>
      <c r="P1075" s="1837"/>
      <c r="Q1075" s="1835"/>
      <c r="R1075" s="1835"/>
      <c r="S1075" s="1835"/>
      <c r="T1075" s="1835"/>
      <c r="U1075" s="1835"/>
      <c r="V1075" s="1835"/>
      <c r="W1075" s="1835"/>
      <c r="X1075" s="1835"/>
      <c r="Y1075" s="1836"/>
      <c r="Z1075" s="1836"/>
      <c r="AA1075" s="1836"/>
      <c r="AB1075" s="1836"/>
      <c r="AC1075" s="1835"/>
      <c r="AD1075" s="1835"/>
      <c r="AE1075" s="1835"/>
      <c r="AF1075" s="1834"/>
      <c r="AG1075" s="1735" t="str">
        <f>"14S:sisetukbn_code:" &amp; IF(D1078="■",1,IF(D1079="■",2,IF(D1080="■",3,0)))</f>
        <v>14S:sisetukbn_code:0</v>
      </c>
      <c r="AI1075" s="1735" t="str">
        <f>"14S:field232:" &amp; IF(I1075="■",1,IF(M1075="■",2,0))</f>
        <v>14S:field232:0</v>
      </c>
    </row>
    <row r="1076" spans="1:35" s="1735" customFormat="1" ht="18.75" hidden="1" customHeight="1">
      <c r="A1076" s="1766"/>
      <c r="B1076" s="1765"/>
      <c r="C1076" s="1764"/>
      <c r="D1076" s="1766"/>
      <c r="E1076" s="1762"/>
      <c r="F1076" s="1761"/>
      <c r="G1076" s="1793"/>
      <c r="H1076" s="1833" t="s">
        <v>1529</v>
      </c>
      <c r="I1076" s="1758" t="s">
        <v>194</v>
      </c>
      <c r="J1076" s="1756" t="s">
        <v>750</v>
      </c>
      <c r="K1076" s="1755"/>
      <c r="L1076" s="1757" t="s">
        <v>194</v>
      </c>
      <c r="M1076" s="1756" t="s">
        <v>764</v>
      </c>
      <c r="N1076" s="1755"/>
      <c r="O1076" s="1827"/>
      <c r="P1076" s="1755"/>
      <c r="Q1076" s="1755"/>
      <c r="R1076" s="1755"/>
      <c r="S1076" s="1755"/>
      <c r="T1076" s="1755"/>
      <c r="U1076" s="1755"/>
      <c r="V1076" s="1755"/>
      <c r="W1076" s="1755"/>
      <c r="X1076" s="1755"/>
      <c r="Y1076" s="1755"/>
      <c r="Z1076" s="1755"/>
      <c r="AA1076" s="1755"/>
      <c r="AB1076" s="1755"/>
      <c r="AC1076" s="1755"/>
      <c r="AD1076" s="1755"/>
      <c r="AE1076" s="1755"/>
      <c r="AF1076" s="1832"/>
      <c r="AI1076" s="1735" t="str">
        <f>"14S:tokutiiki_code:" &amp; IF(I1076="■",1,IF(L1076="■",2,0))</f>
        <v>14S:tokutiiki_code:0</v>
      </c>
    </row>
    <row r="1077" spans="1:35" s="1735" customFormat="1" ht="18.75" hidden="1" customHeight="1">
      <c r="A1077" s="1766"/>
      <c r="B1077" s="1765"/>
      <c r="C1077" s="1764"/>
      <c r="D1077" s="1766"/>
      <c r="E1077" s="1762"/>
      <c r="F1077" s="1761"/>
      <c r="G1077" s="1793"/>
      <c r="H1077" s="1788" t="s">
        <v>1528</v>
      </c>
      <c r="I1077" s="1831" t="s">
        <v>194</v>
      </c>
      <c r="J1077" s="1830" t="s">
        <v>1523</v>
      </c>
      <c r="K1077" s="1830"/>
      <c r="L1077" s="1830"/>
      <c r="M1077" s="1831" t="s">
        <v>194</v>
      </c>
      <c r="N1077" s="1830" t="s">
        <v>1522</v>
      </c>
      <c r="O1077" s="1830"/>
      <c r="P1077" s="1830"/>
      <c r="Q1077" s="1829"/>
      <c r="R1077" s="1829"/>
      <c r="S1077" s="1829"/>
      <c r="T1077" s="1829"/>
      <c r="U1077" s="1829"/>
      <c r="V1077" s="1829"/>
      <c r="W1077" s="1829"/>
      <c r="X1077" s="1829"/>
      <c r="Y1077" s="1829"/>
      <c r="Z1077" s="1829"/>
      <c r="AA1077" s="1829"/>
      <c r="AB1077" s="1829"/>
      <c r="AC1077" s="1829"/>
      <c r="AD1077" s="1829"/>
      <c r="AE1077" s="1829"/>
      <c r="AF1077" s="1828"/>
      <c r="AI1077" s="1735" t="str">
        <f>"14S:chuusankanti_tiiki_code:" &amp; IF(I1077="■",1,IF(M1077="■",2,0))</f>
        <v>14S:chuusankanti_tiiki_code:0</v>
      </c>
    </row>
    <row r="1078" spans="1:35" s="1735" customFormat="1" ht="18.75" hidden="1" customHeight="1">
      <c r="A1078" s="1766"/>
      <c r="B1078" s="1765"/>
      <c r="C1078" s="1764"/>
      <c r="D1078" s="1776" t="s">
        <v>194</v>
      </c>
      <c r="E1078" s="1762" t="s">
        <v>1527</v>
      </c>
      <c r="F1078" s="1761"/>
      <c r="G1078" s="1793"/>
      <c r="H1078" s="1783"/>
      <c r="I1078" s="1782"/>
      <c r="J1078" s="1781"/>
      <c r="K1078" s="1781"/>
      <c r="L1078" s="1781"/>
      <c r="M1078" s="1782"/>
      <c r="N1078" s="1781"/>
      <c r="O1078" s="1781"/>
      <c r="P1078" s="1781"/>
      <c r="Q1078" s="1827"/>
      <c r="R1078" s="1827"/>
      <c r="S1078" s="1827"/>
      <c r="T1078" s="1827"/>
      <c r="U1078" s="1827"/>
      <c r="V1078" s="1827"/>
      <c r="W1078" s="1827"/>
      <c r="X1078" s="1827"/>
      <c r="Y1078" s="1827"/>
      <c r="Z1078" s="1827"/>
      <c r="AA1078" s="1827"/>
      <c r="AB1078" s="1827"/>
      <c r="AC1078" s="1827"/>
      <c r="AD1078" s="1827"/>
      <c r="AE1078" s="1827"/>
      <c r="AF1078" s="1826"/>
    </row>
    <row r="1079" spans="1:35" s="1735" customFormat="1" ht="18.75" hidden="1" customHeight="1">
      <c r="A1079" s="1776" t="s">
        <v>194</v>
      </c>
      <c r="B1079" s="1765">
        <v>14</v>
      </c>
      <c r="C1079" s="1764" t="s">
        <v>1526</v>
      </c>
      <c r="D1079" s="1776" t="s">
        <v>194</v>
      </c>
      <c r="E1079" s="1762" t="s">
        <v>1525</v>
      </c>
      <c r="F1079" s="1761"/>
      <c r="G1079" s="1793"/>
      <c r="H1079" s="1788" t="s">
        <v>1524</v>
      </c>
      <c r="I1079" s="1831" t="s">
        <v>194</v>
      </c>
      <c r="J1079" s="1830" t="s">
        <v>1523</v>
      </c>
      <c r="K1079" s="1830"/>
      <c r="L1079" s="1830"/>
      <c r="M1079" s="1831" t="s">
        <v>194</v>
      </c>
      <c r="N1079" s="1830" t="s">
        <v>1522</v>
      </c>
      <c r="O1079" s="1830"/>
      <c r="P1079" s="1830"/>
      <c r="Q1079" s="1829"/>
      <c r="R1079" s="1829"/>
      <c r="S1079" s="1829"/>
      <c r="T1079" s="1829"/>
      <c r="U1079" s="1829"/>
      <c r="V1079" s="1829"/>
      <c r="W1079" s="1829"/>
      <c r="X1079" s="1829"/>
      <c r="Y1079" s="1829"/>
      <c r="Z1079" s="1829"/>
      <c r="AA1079" s="1829"/>
      <c r="AB1079" s="1829"/>
      <c r="AC1079" s="1829"/>
      <c r="AD1079" s="1829"/>
      <c r="AE1079" s="1829"/>
      <c r="AF1079" s="1828"/>
      <c r="AI1079" s="1735" t="str">
        <f>"14S:chuusankanti_kibo_code:" &amp; IF(I1079="■",1,IF(M1079="■",2,0))</f>
        <v>14S:chuusankanti_kibo_code:0</v>
      </c>
    </row>
    <row r="1080" spans="1:35" s="1735" customFormat="1" ht="18.75" hidden="1" customHeight="1">
      <c r="A1080" s="1766"/>
      <c r="B1080" s="1765"/>
      <c r="C1080" s="1764"/>
      <c r="D1080" s="1776" t="s">
        <v>194</v>
      </c>
      <c r="E1080" s="1762" t="s">
        <v>1521</v>
      </c>
      <c r="F1080" s="1761"/>
      <c r="G1080" s="1793"/>
      <c r="H1080" s="1783"/>
      <c r="I1080" s="1782"/>
      <c r="J1080" s="1781"/>
      <c r="K1080" s="1781"/>
      <c r="L1080" s="1781"/>
      <c r="M1080" s="1782"/>
      <c r="N1080" s="1781"/>
      <c r="O1080" s="1781"/>
      <c r="P1080" s="1781"/>
      <c r="Q1080" s="1827"/>
      <c r="R1080" s="1827"/>
      <c r="S1080" s="1827"/>
      <c r="T1080" s="1827"/>
      <c r="U1080" s="1827"/>
      <c r="V1080" s="1827"/>
      <c r="W1080" s="1827"/>
      <c r="X1080" s="1827"/>
      <c r="Y1080" s="1827"/>
      <c r="Z1080" s="1827"/>
      <c r="AA1080" s="1827"/>
      <c r="AB1080" s="1827"/>
      <c r="AC1080" s="1827"/>
      <c r="AD1080" s="1827"/>
      <c r="AE1080" s="1827"/>
      <c r="AF1080" s="1826"/>
    </row>
    <row r="1081" spans="1:35" s="1735" customFormat="1" ht="18.75" hidden="1" customHeight="1">
      <c r="A1081" s="1766"/>
      <c r="B1081" s="1765"/>
      <c r="C1081" s="1764"/>
      <c r="D1081" s="1825"/>
      <c r="E1081" s="1762"/>
      <c r="F1081" s="1761"/>
      <c r="G1081" s="1793"/>
      <c r="H1081" s="1777" t="s">
        <v>1520</v>
      </c>
      <c r="I1081" s="1773" t="s">
        <v>194</v>
      </c>
      <c r="J1081" s="1754" t="s">
        <v>750</v>
      </c>
      <c r="K1081" s="1754"/>
      <c r="L1081" s="1791"/>
      <c r="M1081" s="1772" t="s">
        <v>194</v>
      </c>
      <c r="N1081" s="1754" t="s">
        <v>1519</v>
      </c>
      <c r="O1081" s="1754"/>
      <c r="P1081" s="1791"/>
      <c r="Q1081" s="1772" t="s">
        <v>194</v>
      </c>
      <c r="R1081" s="1771" t="s">
        <v>1518</v>
      </c>
      <c r="S1081" s="1771"/>
      <c r="T1081" s="1771"/>
      <c r="U1081" s="1823"/>
      <c r="V1081" s="1823"/>
      <c r="W1081" s="1754"/>
      <c r="X1081" s="1754"/>
      <c r="Y1081" s="1824"/>
      <c r="Z1081" s="1823"/>
      <c r="AA1081" s="1771"/>
      <c r="AB1081" s="1771"/>
      <c r="AC1081" s="1771"/>
      <c r="AD1081" s="1771"/>
      <c r="AE1081" s="1771"/>
      <c r="AF1081" s="1767"/>
      <c r="AI1081" s="1735" t="str">
        <f>"14S:field149:" &amp; IF(I1081="■",1,IF(Q1081="■",6,IF(M1081="■",3,0)))</f>
        <v>14S:field149:0</v>
      </c>
    </row>
    <row r="1082" spans="1:35" s="1735" customFormat="1" ht="19.5" hidden="1" customHeight="1">
      <c r="A1082" s="1766"/>
      <c r="B1082" s="1765"/>
      <c r="C1082" s="1764"/>
      <c r="D1082" s="1816"/>
      <c r="E1082" s="1762"/>
      <c r="F1082" s="1761"/>
      <c r="G1082" s="1793"/>
      <c r="H1082" s="1822" t="s">
        <v>1517</v>
      </c>
      <c r="I1082" s="1821" t="s">
        <v>194</v>
      </c>
      <c r="J1082" s="1786" t="s">
        <v>750</v>
      </c>
      <c r="K1082" s="1786"/>
      <c r="L1082" s="1820" t="s">
        <v>194</v>
      </c>
      <c r="M1082" s="1786" t="s">
        <v>764</v>
      </c>
      <c r="N1082" s="1786"/>
      <c r="O1082" s="1738"/>
      <c r="P1082" s="1817"/>
      <c r="Q1082" s="1816"/>
      <c r="R1082" s="1817"/>
      <c r="S1082" s="1734"/>
      <c r="T1082" s="1734"/>
      <c r="U1082" s="1817"/>
      <c r="V1082" s="1817"/>
      <c r="W1082" s="1734"/>
      <c r="X1082" s="1817"/>
      <c r="Y1082" s="1817"/>
      <c r="Z1082" s="1817"/>
      <c r="AA1082" s="1817"/>
      <c r="AB1082" s="1817"/>
      <c r="AC1082" s="1817"/>
      <c r="AD1082" s="1817"/>
      <c r="AE1082" s="1817"/>
      <c r="AF1082" s="1793"/>
      <c r="AI1082" s="1735" t="str">
        <f>"14S:field239:" &amp; IF(I1082="■",1,IF(L1082="■",2,0))</f>
        <v>14S:field239:0</v>
      </c>
    </row>
    <row r="1083" spans="1:35" s="1735" customFormat="1" ht="19.5" hidden="1" customHeight="1">
      <c r="A1083" s="1766"/>
      <c r="B1083" s="1765"/>
      <c r="C1083" s="1764"/>
      <c r="D1083" s="1816"/>
      <c r="E1083" s="1762"/>
      <c r="F1083" s="1761"/>
      <c r="G1083" s="1793"/>
      <c r="H1083" s="1783"/>
      <c r="I1083" s="1819"/>
      <c r="J1083" s="1781"/>
      <c r="K1083" s="1781"/>
      <c r="L1083" s="1818"/>
      <c r="M1083" s="1781"/>
      <c r="N1083" s="1781"/>
      <c r="O1083" s="1738"/>
      <c r="P1083" s="1817"/>
      <c r="Q1083" s="1816"/>
      <c r="R1083" s="1780"/>
      <c r="S1083" s="1734"/>
      <c r="T1083" s="1734"/>
      <c r="U1083" s="1815"/>
      <c r="V1083" s="1780"/>
      <c r="W1083" s="1734"/>
      <c r="X1083" s="1780"/>
      <c r="Y1083" s="1780"/>
      <c r="Z1083" s="1780"/>
      <c r="AA1083" s="1780"/>
      <c r="AB1083" s="1780"/>
      <c r="AC1083" s="1780"/>
      <c r="AD1083" s="1780"/>
      <c r="AE1083" s="1780"/>
      <c r="AF1083" s="1814"/>
    </row>
    <row r="1084" spans="1:35" s="1735" customFormat="1" ht="19.5" hidden="1" customHeight="1">
      <c r="A1084" s="1766"/>
      <c r="B1084" s="1765"/>
      <c r="C1084" s="1764"/>
      <c r="D1084" s="1766"/>
      <c r="E1084" s="1762"/>
      <c r="F1084" s="1761"/>
      <c r="G1084" s="1793"/>
      <c r="H1084" s="1792" t="s">
        <v>1516</v>
      </c>
      <c r="I1084" s="1773" t="s">
        <v>194</v>
      </c>
      <c r="J1084" s="1754" t="s">
        <v>750</v>
      </c>
      <c r="K1084" s="1754"/>
      <c r="L1084" s="1772" t="s">
        <v>194</v>
      </c>
      <c r="M1084" s="1754" t="s">
        <v>764</v>
      </c>
      <c r="N1084" s="1754"/>
      <c r="O1084" s="1768"/>
      <c r="P1084" s="1754"/>
      <c r="Q1084" s="1768"/>
      <c r="R1084" s="1768"/>
      <c r="S1084" s="1768"/>
      <c r="T1084" s="1768"/>
      <c r="U1084" s="1768"/>
      <c r="V1084" s="1768"/>
      <c r="W1084" s="1768"/>
      <c r="X1084" s="1768"/>
      <c r="Y1084" s="1768"/>
      <c r="Z1084" s="1768"/>
      <c r="AA1084" s="1768"/>
      <c r="AB1084" s="1768"/>
      <c r="AC1084" s="1768"/>
      <c r="AD1084" s="1768"/>
      <c r="AE1084" s="1768"/>
      <c r="AF1084" s="1753"/>
      <c r="AI1084" s="1735" t="str">
        <f>"14S:field224:" &amp; IF(I1084="■",1,IF(L1084="■",2,0))</f>
        <v>14S:field224:0</v>
      </c>
    </row>
    <row r="1085" spans="1:35" s="1735" customFormat="1" ht="18.75" hidden="1" customHeight="1">
      <c r="A1085" s="1752"/>
      <c r="B1085" s="1751"/>
      <c r="C1085" s="1750"/>
      <c r="D1085" s="1752"/>
      <c r="E1085" s="1748"/>
      <c r="F1085" s="1747"/>
      <c r="G1085" s="1808"/>
      <c r="H1085" s="1813" t="s">
        <v>1515</v>
      </c>
      <c r="I1085" s="1812" t="s">
        <v>194</v>
      </c>
      <c r="J1085" s="1809" t="s">
        <v>750</v>
      </c>
      <c r="K1085" s="1810"/>
      <c r="L1085" s="1811" t="s">
        <v>194</v>
      </c>
      <c r="M1085" s="1809" t="s">
        <v>764</v>
      </c>
      <c r="N1085" s="1810"/>
      <c r="O1085" s="1809"/>
      <c r="P1085" s="1809"/>
      <c r="Q1085" s="1809"/>
      <c r="R1085" s="1809"/>
      <c r="S1085" s="1809"/>
      <c r="T1085" s="1809"/>
      <c r="U1085" s="1809"/>
      <c r="V1085" s="1809"/>
      <c r="W1085" s="1809"/>
      <c r="X1085" s="1809"/>
      <c r="Y1085" s="1809"/>
      <c r="Z1085" s="1809"/>
      <c r="AA1085" s="1809"/>
      <c r="AB1085" s="1809"/>
      <c r="AC1085" s="1809"/>
      <c r="AD1085" s="1809"/>
      <c r="AE1085" s="1809"/>
      <c r="AF1085" s="1808"/>
      <c r="AI1085" s="1735" t="str">
        <f>"14S:field150:" &amp; IF(I1085="■",1,IF(L1085="■",2,0))</f>
        <v>14S:field150:0</v>
      </c>
    </row>
    <row r="1086" spans="1:35" s="1735" customFormat="1" ht="18.75" hidden="1" customHeight="1">
      <c r="A1086" s="1807"/>
      <c r="B1086" s="1806"/>
      <c r="C1086" s="1805"/>
      <c r="D1086" s="1803"/>
      <c r="E1086" s="1804"/>
      <c r="F1086" s="1803"/>
      <c r="G1086" s="1802"/>
      <c r="H1086" s="1801" t="s">
        <v>98</v>
      </c>
      <c r="I1086" s="1800" t="s">
        <v>194</v>
      </c>
      <c r="J1086" s="1799" t="s">
        <v>750</v>
      </c>
      <c r="K1086" s="1799"/>
      <c r="L1086" s="1797"/>
      <c r="M1086" s="1798" t="s">
        <v>194</v>
      </c>
      <c r="N1086" s="1799" t="s">
        <v>751</v>
      </c>
      <c r="O1086" s="1799"/>
      <c r="P1086" s="1797"/>
      <c r="Q1086" s="1798" t="s">
        <v>194</v>
      </c>
      <c r="R1086" s="1797" t="s">
        <v>752</v>
      </c>
      <c r="S1086" s="1797"/>
      <c r="T1086" s="1796"/>
      <c r="U1086" s="1796"/>
      <c r="V1086" s="1796"/>
      <c r="W1086" s="1796"/>
      <c r="X1086" s="1796"/>
      <c r="Y1086" s="1796"/>
      <c r="Z1086" s="1796"/>
      <c r="AA1086" s="1796"/>
      <c r="AB1086" s="1796"/>
      <c r="AC1086" s="1796"/>
      <c r="AD1086" s="1796"/>
      <c r="AE1086" s="1796"/>
      <c r="AF1086" s="1795"/>
      <c r="AG1086" s="1735" t="str">
        <f>"ser_code = '" &amp; IF(A1098="■","15S","") &amp; "'"</f>
        <v>ser_code = ''</v>
      </c>
      <c r="AI1086" s="1735" t="str">
        <f>"15:"&amp;IF(AND(I1086="□",M1086="□",Q1086="□"),"ketu_kangos_code:0",IF(I1086="■","ketu_kangos_code:1:ketu_kshoku_code:1",IF(M1086="■","ketu_kangos_code:2","ketu_kangos_code:1")&amp;IF(Q1086="■",":ketu_kshoku_code:2",":ketu_kshoku_code:1")))</f>
        <v>15:ketu_kangos_code:0</v>
      </c>
    </row>
    <row r="1087" spans="1:35" s="1735" customFormat="1" ht="19.5" hidden="1" customHeight="1">
      <c r="A1087" s="1766"/>
      <c r="B1087" s="1765"/>
      <c r="C1087" s="1764"/>
      <c r="D1087" s="1763"/>
      <c r="E1087" s="1762"/>
      <c r="F1087" s="1761"/>
      <c r="G1087" s="1793"/>
      <c r="H1087" s="1792" t="s">
        <v>760</v>
      </c>
      <c r="I1087" s="1773" t="s">
        <v>194</v>
      </c>
      <c r="J1087" s="1754" t="s">
        <v>758</v>
      </c>
      <c r="K1087" s="1789"/>
      <c r="L1087" s="1791"/>
      <c r="M1087" s="1772" t="s">
        <v>194</v>
      </c>
      <c r="N1087" s="1754" t="s">
        <v>761</v>
      </c>
      <c r="O1087" s="1754"/>
      <c r="P1087" s="1754"/>
      <c r="Q1087" s="1768"/>
      <c r="R1087" s="1768"/>
      <c r="S1087" s="1768"/>
      <c r="T1087" s="1768"/>
      <c r="U1087" s="1768"/>
      <c r="V1087" s="1768"/>
      <c r="W1087" s="1768"/>
      <c r="X1087" s="1768"/>
      <c r="Y1087" s="1768"/>
      <c r="Z1087" s="1768"/>
      <c r="AA1087" s="1768"/>
      <c r="AB1087" s="1768"/>
      <c r="AC1087" s="1768"/>
      <c r="AD1087" s="1768"/>
      <c r="AE1087" s="1768"/>
      <c r="AF1087" s="1794"/>
      <c r="AG1087" s="1735" t="str">
        <f>"15:sisetukbn_code:" &amp; IF(D1097="■",4,IF(D1098="■",6,IF(D1099="■",7,0)))</f>
        <v>15:sisetukbn_code:0</v>
      </c>
      <c r="AI1087" s="1735" t="str">
        <f>"15:field223:" &amp; IF(I1087="■",1,IF(M1087="■",2,0))</f>
        <v>15:field223:0</v>
      </c>
    </row>
    <row r="1088" spans="1:35" s="1735" customFormat="1" ht="19.5" hidden="1" customHeight="1">
      <c r="A1088" s="1766"/>
      <c r="B1088" s="1765"/>
      <c r="C1088" s="1764"/>
      <c r="D1088" s="1763"/>
      <c r="E1088" s="1762"/>
      <c r="F1088" s="1761"/>
      <c r="G1088" s="1793"/>
      <c r="H1088" s="1792" t="s">
        <v>762</v>
      </c>
      <c r="I1088" s="1773" t="s">
        <v>194</v>
      </c>
      <c r="J1088" s="1754" t="s">
        <v>758</v>
      </c>
      <c r="K1088" s="1789"/>
      <c r="L1088" s="1791"/>
      <c r="M1088" s="1772" t="s">
        <v>194</v>
      </c>
      <c r="N1088" s="1754" t="s">
        <v>761</v>
      </c>
      <c r="O1088" s="1754"/>
      <c r="P1088" s="1754"/>
      <c r="Q1088" s="1768"/>
      <c r="R1088" s="1768"/>
      <c r="S1088" s="1768"/>
      <c r="T1088" s="1768"/>
      <c r="U1088" s="1768"/>
      <c r="V1088" s="1768"/>
      <c r="W1088" s="1768"/>
      <c r="X1088" s="1768"/>
      <c r="Y1088" s="1768"/>
      <c r="Z1088" s="1768"/>
      <c r="AA1088" s="1768"/>
      <c r="AB1088" s="1768"/>
      <c r="AC1088" s="1768"/>
      <c r="AD1088" s="1768"/>
      <c r="AE1088" s="1768"/>
      <c r="AF1088" s="1790"/>
      <c r="AI1088" s="1735" t="str">
        <f>"15:field232:" &amp; IF(I1088="■",1,IF(M1088="■",2,0))</f>
        <v>15:field232:0</v>
      </c>
    </row>
    <row r="1089" spans="1:35" s="1735" customFormat="1" ht="18.75" hidden="1" customHeight="1">
      <c r="A1089" s="1766"/>
      <c r="B1089" s="1765"/>
      <c r="C1089" s="1764"/>
      <c r="D1089" s="1763"/>
      <c r="E1089" s="1762"/>
      <c r="F1089" s="1761"/>
      <c r="G1089" s="1760"/>
      <c r="H1089" s="1769" t="s">
        <v>1514</v>
      </c>
      <c r="I1089" s="1773" t="s">
        <v>194</v>
      </c>
      <c r="J1089" s="1754" t="s">
        <v>755</v>
      </c>
      <c r="K1089" s="1789"/>
      <c r="L1089" s="1771"/>
      <c r="M1089" s="1772" t="s">
        <v>194</v>
      </c>
      <c r="N1089" s="1754" t="s">
        <v>756</v>
      </c>
      <c r="O1089" s="1789"/>
      <c r="P1089" s="1768"/>
      <c r="Q1089" s="1768"/>
      <c r="R1089" s="1768"/>
      <c r="S1089" s="1768"/>
      <c r="T1089" s="1768"/>
      <c r="U1089" s="1768"/>
      <c r="V1089" s="1768"/>
      <c r="W1089" s="1768"/>
      <c r="X1089" s="1768"/>
      <c r="Y1089" s="1768"/>
      <c r="Z1089" s="1768"/>
      <c r="AA1089" s="1768"/>
      <c r="AB1089" s="1768"/>
      <c r="AC1089" s="1768"/>
      <c r="AD1089" s="1768"/>
      <c r="AE1089" s="1768"/>
      <c r="AF1089" s="1767"/>
      <c r="AI1089" s="1735" t="str">
        <f>"15:timeser_code:" &amp; IF(I1089="■",1,IF(M1089="■",2,0))</f>
        <v>15:timeser_code:0</v>
      </c>
    </row>
    <row r="1090" spans="1:35" s="1735" customFormat="1" ht="18.75" hidden="1" customHeight="1">
      <c r="A1090" s="1766"/>
      <c r="B1090" s="1765"/>
      <c r="C1090" s="1764"/>
      <c r="D1090" s="1763"/>
      <c r="E1090" s="1762"/>
      <c r="F1090" s="1761"/>
      <c r="G1090" s="1760"/>
      <c r="H1090" s="1788" t="s">
        <v>1513</v>
      </c>
      <c r="I1090" s="1787" t="s">
        <v>194</v>
      </c>
      <c r="J1090" s="1786" t="s">
        <v>750</v>
      </c>
      <c r="K1090" s="1786"/>
      <c r="L1090" s="1787" t="s">
        <v>194</v>
      </c>
      <c r="M1090" s="1786" t="s">
        <v>764</v>
      </c>
      <c r="N1090" s="1786"/>
      <c r="O1090" s="1785"/>
      <c r="P1090" s="1785"/>
      <c r="Q1090" s="1785"/>
      <c r="R1090" s="1785"/>
      <c r="S1090" s="1785"/>
      <c r="T1090" s="1785"/>
      <c r="U1090" s="1785"/>
      <c r="V1090" s="1785"/>
      <c r="W1090" s="1785"/>
      <c r="X1090" s="1785"/>
      <c r="Y1090" s="1785"/>
      <c r="Z1090" s="1785"/>
      <c r="AA1090" s="1785"/>
      <c r="AB1090" s="1785"/>
      <c r="AC1090" s="1785"/>
      <c r="AD1090" s="1785"/>
      <c r="AE1090" s="1785"/>
      <c r="AF1090" s="1784"/>
      <c r="AI1090" s="1735" t="str">
        <f>"15:field181:" &amp; IF(I1090="■",1,IF(L1090="■",2,0))</f>
        <v>15:field181:0</v>
      </c>
    </row>
    <row r="1091" spans="1:35" s="1735" customFormat="1" ht="18.75" hidden="1" customHeight="1">
      <c r="A1091" s="1766"/>
      <c r="B1091" s="1765"/>
      <c r="C1091" s="1764"/>
      <c r="D1091" s="1763"/>
      <c r="E1091" s="1762"/>
      <c r="F1091" s="1761"/>
      <c r="G1091" s="1760"/>
      <c r="H1091" s="1783"/>
      <c r="I1091" s="1782"/>
      <c r="J1091" s="1781"/>
      <c r="K1091" s="1781"/>
      <c r="L1091" s="1782"/>
      <c r="M1091" s="1781"/>
      <c r="N1091" s="1781"/>
      <c r="O1091" s="1780"/>
      <c r="P1091" s="1780"/>
      <c r="Q1091" s="1780"/>
      <c r="R1091" s="1780"/>
      <c r="S1091" s="1780"/>
      <c r="T1091" s="1780"/>
      <c r="U1091" s="1780"/>
      <c r="V1091" s="1780"/>
      <c r="W1091" s="1780"/>
      <c r="X1091" s="1780"/>
      <c r="Y1091" s="1780"/>
      <c r="Z1091" s="1780"/>
      <c r="AA1091" s="1780"/>
      <c r="AB1091" s="1780"/>
      <c r="AC1091" s="1780"/>
      <c r="AD1091" s="1780"/>
      <c r="AE1091" s="1780"/>
      <c r="AF1091" s="1779"/>
    </row>
    <row r="1092" spans="1:35" s="1735" customFormat="1" ht="18.75" hidden="1" customHeight="1">
      <c r="A1092" s="1766"/>
      <c r="B1092" s="1765"/>
      <c r="C1092" s="1764"/>
      <c r="D1092" s="1763"/>
      <c r="E1092" s="1762"/>
      <c r="F1092" s="1761"/>
      <c r="G1092" s="1760"/>
      <c r="H1092" s="1788" t="s">
        <v>1512</v>
      </c>
      <c r="I1092" s="1787" t="s">
        <v>194</v>
      </c>
      <c r="J1092" s="1786" t="s">
        <v>750</v>
      </c>
      <c r="K1092" s="1786"/>
      <c r="L1092" s="1787" t="s">
        <v>194</v>
      </c>
      <c r="M1092" s="1786" t="s">
        <v>764</v>
      </c>
      <c r="N1092" s="1786"/>
      <c r="O1092" s="1785"/>
      <c r="P1092" s="1785"/>
      <c r="Q1092" s="1785"/>
      <c r="R1092" s="1785"/>
      <c r="S1092" s="1785"/>
      <c r="T1092" s="1785"/>
      <c r="U1092" s="1785"/>
      <c r="V1092" s="1785"/>
      <c r="W1092" s="1785"/>
      <c r="X1092" s="1785"/>
      <c r="Y1092" s="1785"/>
      <c r="Z1092" s="1785"/>
      <c r="AA1092" s="1785"/>
      <c r="AB1092" s="1785"/>
      <c r="AC1092" s="1785"/>
      <c r="AD1092" s="1785"/>
      <c r="AE1092" s="1785"/>
      <c r="AF1092" s="1784"/>
      <c r="AI1092" s="1735" t="str">
        <f>"15:field182:" &amp; IF(I1092="■",1,IF(L1092="■",2,0))</f>
        <v>15:field182:0</v>
      </c>
    </row>
    <row r="1093" spans="1:35" s="1735" customFormat="1" ht="18.75" hidden="1" customHeight="1">
      <c r="A1093" s="1766"/>
      <c r="B1093" s="1765"/>
      <c r="C1093" s="1764"/>
      <c r="D1093" s="1763"/>
      <c r="E1093" s="1762"/>
      <c r="F1093" s="1761"/>
      <c r="G1093" s="1760"/>
      <c r="H1093" s="1783"/>
      <c r="I1093" s="1782"/>
      <c r="J1093" s="1781"/>
      <c r="K1093" s="1781"/>
      <c r="L1093" s="1782"/>
      <c r="M1093" s="1781"/>
      <c r="N1093" s="1781"/>
      <c r="O1093" s="1780"/>
      <c r="P1093" s="1780"/>
      <c r="Q1093" s="1780"/>
      <c r="R1093" s="1780"/>
      <c r="S1093" s="1780"/>
      <c r="T1093" s="1780"/>
      <c r="U1093" s="1780"/>
      <c r="V1093" s="1780"/>
      <c r="W1093" s="1780"/>
      <c r="X1093" s="1780"/>
      <c r="Y1093" s="1780"/>
      <c r="Z1093" s="1780"/>
      <c r="AA1093" s="1780"/>
      <c r="AB1093" s="1780"/>
      <c r="AC1093" s="1780"/>
      <c r="AD1093" s="1780"/>
      <c r="AE1093" s="1780"/>
      <c r="AF1093" s="1779"/>
    </row>
    <row r="1094" spans="1:35" s="1735" customFormat="1" ht="18.75" hidden="1" customHeight="1">
      <c r="A1094" s="1766"/>
      <c r="B1094" s="1765"/>
      <c r="C1094" s="1764"/>
      <c r="D1094" s="1763"/>
      <c r="E1094" s="1762"/>
      <c r="F1094" s="1761"/>
      <c r="G1094" s="1760"/>
      <c r="H1094" s="1788" t="s">
        <v>1511</v>
      </c>
      <c r="I1094" s="1787" t="s">
        <v>194</v>
      </c>
      <c r="J1094" s="1786" t="s">
        <v>750</v>
      </c>
      <c r="K1094" s="1786"/>
      <c r="L1094" s="1787" t="s">
        <v>194</v>
      </c>
      <c r="M1094" s="1786" t="s">
        <v>764</v>
      </c>
      <c r="N1094" s="1786"/>
      <c r="O1094" s="1785"/>
      <c r="P1094" s="1785"/>
      <c r="Q1094" s="1785"/>
      <c r="R1094" s="1785"/>
      <c r="S1094" s="1785"/>
      <c r="T1094" s="1785"/>
      <c r="U1094" s="1785"/>
      <c r="V1094" s="1785"/>
      <c r="W1094" s="1785"/>
      <c r="X1094" s="1785"/>
      <c r="Y1094" s="1785"/>
      <c r="Z1094" s="1785"/>
      <c r="AA1094" s="1785"/>
      <c r="AB1094" s="1785"/>
      <c r="AC1094" s="1785"/>
      <c r="AD1094" s="1785"/>
      <c r="AE1094" s="1785"/>
      <c r="AF1094" s="1784"/>
      <c r="AI1094" s="1735" t="str">
        <f>"15:field183:" &amp; IF(I1094="■",1,IF(L1094="■",2,0))</f>
        <v>15:field183:0</v>
      </c>
    </row>
    <row r="1095" spans="1:35" s="1735" customFormat="1" ht="18.75" hidden="1" customHeight="1">
      <c r="A1095" s="1766"/>
      <c r="B1095" s="1765"/>
      <c r="C1095" s="1764"/>
      <c r="D1095" s="1763"/>
      <c r="E1095" s="1762"/>
      <c r="F1095" s="1761"/>
      <c r="G1095" s="1760"/>
      <c r="H1095" s="1783"/>
      <c r="I1095" s="1782"/>
      <c r="J1095" s="1781"/>
      <c r="K1095" s="1781"/>
      <c r="L1095" s="1782"/>
      <c r="M1095" s="1781"/>
      <c r="N1095" s="1781"/>
      <c r="O1095" s="1780"/>
      <c r="P1095" s="1780"/>
      <c r="Q1095" s="1780"/>
      <c r="R1095" s="1780"/>
      <c r="S1095" s="1780"/>
      <c r="T1095" s="1780"/>
      <c r="U1095" s="1780"/>
      <c r="V1095" s="1780"/>
      <c r="W1095" s="1780"/>
      <c r="X1095" s="1780"/>
      <c r="Y1095" s="1780"/>
      <c r="Z1095" s="1780"/>
      <c r="AA1095" s="1780"/>
      <c r="AB1095" s="1780"/>
      <c r="AC1095" s="1780"/>
      <c r="AD1095" s="1780"/>
      <c r="AE1095" s="1780"/>
      <c r="AF1095" s="1779"/>
    </row>
    <row r="1096" spans="1:35" s="1735" customFormat="1" ht="18.75" hidden="1" customHeight="1">
      <c r="A1096" s="1766"/>
      <c r="B1096" s="1765"/>
      <c r="C1096" s="1764"/>
      <c r="D1096" s="1763"/>
      <c r="E1096" s="1762"/>
      <c r="F1096" s="1761"/>
      <c r="G1096" s="1760"/>
      <c r="H1096" s="1788" t="s">
        <v>1510</v>
      </c>
      <c r="I1096" s="1787" t="s">
        <v>194</v>
      </c>
      <c r="J1096" s="1786" t="s">
        <v>750</v>
      </c>
      <c r="K1096" s="1786"/>
      <c r="L1096" s="1787" t="s">
        <v>194</v>
      </c>
      <c r="M1096" s="1786" t="s">
        <v>764</v>
      </c>
      <c r="N1096" s="1786"/>
      <c r="O1096" s="1785"/>
      <c r="P1096" s="1785"/>
      <c r="Q1096" s="1785"/>
      <c r="R1096" s="1785"/>
      <c r="S1096" s="1785"/>
      <c r="T1096" s="1785"/>
      <c r="U1096" s="1785"/>
      <c r="V1096" s="1785"/>
      <c r="W1096" s="1785"/>
      <c r="X1096" s="1785"/>
      <c r="Y1096" s="1785"/>
      <c r="Z1096" s="1785"/>
      <c r="AA1096" s="1785"/>
      <c r="AB1096" s="1785"/>
      <c r="AC1096" s="1785"/>
      <c r="AD1096" s="1785"/>
      <c r="AE1096" s="1785"/>
      <c r="AF1096" s="1784"/>
      <c r="AI1096" s="1735" t="str">
        <f>"15:field184:" &amp; IF(I1096="■",1,IF(L1096="■",2,0))</f>
        <v>15:field184:0</v>
      </c>
    </row>
    <row r="1097" spans="1:35" s="1735" customFormat="1" ht="18.75" hidden="1" customHeight="1">
      <c r="A1097" s="1766"/>
      <c r="B1097" s="1765"/>
      <c r="C1097" s="1764"/>
      <c r="D1097" s="1776" t="s">
        <v>194</v>
      </c>
      <c r="E1097" s="1762" t="s">
        <v>1509</v>
      </c>
      <c r="F1097" s="1761"/>
      <c r="G1097" s="1760"/>
      <c r="H1097" s="1783"/>
      <c r="I1097" s="1782"/>
      <c r="J1097" s="1781"/>
      <c r="K1097" s="1781"/>
      <c r="L1097" s="1782"/>
      <c r="M1097" s="1781"/>
      <c r="N1097" s="1781"/>
      <c r="O1097" s="1780"/>
      <c r="P1097" s="1780"/>
      <c r="Q1097" s="1780"/>
      <c r="R1097" s="1780"/>
      <c r="S1097" s="1780"/>
      <c r="T1097" s="1780"/>
      <c r="U1097" s="1780"/>
      <c r="V1097" s="1780"/>
      <c r="W1097" s="1780"/>
      <c r="X1097" s="1780"/>
      <c r="Y1097" s="1780"/>
      <c r="Z1097" s="1780"/>
      <c r="AA1097" s="1780"/>
      <c r="AB1097" s="1780"/>
      <c r="AC1097" s="1780"/>
      <c r="AD1097" s="1780"/>
      <c r="AE1097" s="1780"/>
      <c r="AF1097" s="1779"/>
    </row>
    <row r="1098" spans="1:35" s="1735" customFormat="1" ht="18.75" hidden="1" customHeight="1">
      <c r="A1098" s="1776" t="s">
        <v>194</v>
      </c>
      <c r="B1098" s="1765">
        <v>15</v>
      </c>
      <c r="C1098" s="1778" t="s">
        <v>4</v>
      </c>
      <c r="D1098" s="1776" t="s">
        <v>194</v>
      </c>
      <c r="E1098" s="1762" t="s">
        <v>1508</v>
      </c>
      <c r="F1098" s="1761"/>
      <c r="G1098" s="1760"/>
      <c r="H1098" s="1777" t="s">
        <v>1507</v>
      </c>
      <c r="I1098" s="1758" t="s">
        <v>194</v>
      </c>
      <c r="J1098" s="1756" t="s">
        <v>750</v>
      </c>
      <c r="K1098" s="1755"/>
      <c r="L1098" s="1757" t="s">
        <v>194</v>
      </c>
      <c r="M1098" s="1756" t="s">
        <v>764</v>
      </c>
      <c r="N1098" s="1755"/>
      <c r="O1098" s="1771"/>
      <c r="P1098" s="1771"/>
      <c r="Q1098" s="1771"/>
      <c r="R1098" s="1771"/>
      <c r="S1098" s="1771"/>
      <c r="T1098" s="1771"/>
      <c r="U1098" s="1771"/>
      <c r="V1098" s="1771"/>
      <c r="W1098" s="1771"/>
      <c r="X1098" s="1771"/>
      <c r="Y1098" s="1771"/>
      <c r="Z1098" s="1771"/>
      <c r="AA1098" s="1771"/>
      <c r="AB1098" s="1771"/>
      <c r="AC1098" s="1771"/>
      <c r="AD1098" s="1771"/>
      <c r="AE1098" s="1771"/>
      <c r="AF1098" s="1770"/>
      <c r="AI1098" s="1735" t="str">
        <f>"15:field151:" &amp; IF(I1098="■",1,IF(L1098="■",2,0))</f>
        <v>15:field151:0</v>
      </c>
    </row>
    <row r="1099" spans="1:35" s="1735" customFormat="1" ht="18.75" hidden="1" customHeight="1">
      <c r="A1099" s="1766"/>
      <c r="B1099" s="1765"/>
      <c r="C1099" s="1764"/>
      <c r="D1099" s="1776" t="s">
        <v>194</v>
      </c>
      <c r="E1099" s="1762" t="s">
        <v>1506</v>
      </c>
      <c r="F1099" s="1761"/>
      <c r="G1099" s="1760"/>
      <c r="H1099" s="1759" t="s">
        <v>1505</v>
      </c>
      <c r="I1099" s="1773" t="s">
        <v>194</v>
      </c>
      <c r="J1099" s="1754" t="s">
        <v>750</v>
      </c>
      <c r="K1099" s="1754"/>
      <c r="L1099" s="1772" t="s">
        <v>194</v>
      </c>
      <c r="M1099" s="1754" t="s">
        <v>784</v>
      </c>
      <c r="N1099" s="1754"/>
      <c r="O1099" s="1772" t="s">
        <v>194</v>
      </c>
      <c r="P1099" s="1754" t="s">
        <v>785</v>
      </c>
      <c r="Q1099" s="1768"/>
      <c r="R1099" s="1775"/>
      <c r="S1099" s="1775"/>
      <c r="T1099" s="1775"/>
      <c r="U1099" s="1775"/>
      <c r="V1099" s="1775"/>
      <c r="W1099" s="1775"/>
      <c r="X1099" s="1775"/>
      <c r="Y1099" s="1775"/>
      <c r="Z1099" s="1775"/>
      <c r="AA1099" s="1775"/>
      <c r="AB1099" s="1775"/>
      <c r="AC1099" s="1775"/>
      <c r="AD1099" s="1775"/>
      <c r="AE1099" s="1775"/>
      <c r="AF1099" s="1774"/>
      <c r="AI1099" s="1735" t="str">
        <f>"15:nyukai_code:" &amp; IF(I1099="■",1,IF(O1099="■",3,IF(L1099="■",2,0)))</f>
        <v>15:nyukai_code:0</v>
      </c>
    </row>
    <row r="1100" spans="1:35" s="1735" customFormat="1" ht="18.75" hidden="1" customHeight="1">
      <c r="A1100" s="1766"/>
      <c r="B1100" s="1765"/>
      <c r="C1100" s="1764"/>
      <c r="D1100" s="1763"/>
      <c r="E1100" s="1762"/>
      <c r="F1100" s="1761"/>
      <c r="G1100" s="1760"/>
      <c r="H1100" s="1759" t="s">
        <v>1504</v>
      </c>
      <c r="I1100" s="1758" t="s">
        <v>194</v>
      </c>
      <c r="J1100" s="1756" t="s">
        <v>750</v>
      </c>
      <c r="K1100" s="1755"/>
      <c r="L1100" s="1757" t="s">
        <v>194</v>
      </c>
      <c r="M1100" s="1756" t="s">
        <v>764</v>
      </c>
      <c r="N1100" s="1755"/>
      <c r="O1100" s="1768"/>
      <c r="P1100" s="1768"/>
      <c r="Q1100" s="1768"/>
      <c r="R1100" s="1768"/>
      <c r="S1100" s="1768"/>
      <c r="T1100" s="1768"/>
      <c r="U1100" s="1768"/>
      <c r="V1100" s="1768"/>
      <c r="W1100" s="1768"/>
      <c r="X1100" s="1768"/>
      <c r="Y1100" s="1768"/>
      <c r="Z1100" s="1768"/>
      <c r="AA1100" s="1768"/>
      <c r="AB1100" s="1768"/>
      <c r="AC1100" s="1768"/>
      <c r="AD1100" s="1768"/>
      <c r="AE1100" s="1768"/>
      <c r="AF1100" s="1767"/>
      <c r="AI1100" s="1735" t="str">
        <f>"15:field153:" &amp; IF(I1100="■",1,IF(L1100="■",2,0))</f>
        <v>15:field153:0</v>
      </c>
    </row>
    <row r="1101" spans="1:35" s="1735" customFormat="1" ht="18.75" hidden="1" customHeight="1">
      <c r="A1101" s="1766"/>
      <c r="B1101" s="1765"/>
      <c r="C1101" s="1764"/>
      <c r="D1101" s="1763"/>
      <c r="E1101" s="1762"/>
      <c r="F1101" s="1761"/>
      <c r="G1101" s="1760"/>
      <c r="H1101" s="1759" t="s">
        <v>152</v>
      </c>
      <c r="I1101" s="1773" t="s">
        <v>194</v>
      </c>
      <c r="J1101" s="1754" t="s">
        <v>750</v>
      </c>
      <c r="K1101" s="1754"/>
      <c r="L1101" s="1772" t="s">
        <v>194</v>
      </c>
      <c r="M1101" s="1754" t="s">
        <v>773</v>
      </c>
      <c r="N1101" s="1754"/>
      <c r="O1101" s="1772" t="s">
        <v>194</v>
      </c>
      <c r="P1101" s="1754" t="s">
        <v>774</v>
      </c>
      <c r="Q1101" s="1768"/>
      <c r="R1101" s="1771"/>
      <c r="S1101" s="1771"/>
      <c r="T1101" s="1771"/>
      <c r="U1101" s="1771"/>
      <c r="V1101" s="1771"/>
      <c r="W1101" s="1771"/>
      <c r="X1101" s="1771"/>
      <c r="Y1101" s="1771"/>
      <c r="Z1101" s="1771"/>
      <c r="AA1101" s="1771"/>
      <c r="AB1101" s="1771"/>
      <c r="AC1101" s="1771"/>
      <c r="AD1101" s="1771"/>
      <c r="AE1101" s="1771"/>
      <c r="AF1101" s="1770"/>
      <c r="AI1101" s="1735" t="str">
        <f>"15:field185:" &amp; IF(I1101="■",1,IF(L1101="■",3,IF(O1101="■",2,0)))</f>
        <v>15:field185:0</v>
      </c>
    </row>
    <row r="1102" spans="1:35" s="1735" customFormat="1" ht="18.75" hidden="1" customHeight="1">
      <c r="A1102" s="1766"/>
      <c r="B1102" s="1765"/>
      <c r="C1102" s="1764"/>
      <c r="D1102" s="1763"/>
      <c r="E1102" s="1762"/>
      <c r="F1102" s="1761"/>
      <c r="G1102" s="1760"/>
      <c r="H1102" s="1759" t="s">
        <v>1503</v>
      </c>
      <c r="I1102" s="1773" t="s">
        <v>194</v>
      </c>
      <c r="J1102" s="1754" t="s">
        <v>750</v>
      </c>
      <c r="K1102" s="1754"/>
      <c r="L1102" s="1772" t="s">
        <v>194</v>
      </c>
      <c r="M1102" s="1754" t="s">
        <v>1502</v>
      </c>
      <c r="N1102" s="1771"/>
      <c r="O1102" s="1771"/>
      <c r="P1102" s="1772" t="s">
        <v>194</v>
      </c>
      <c r="Q1102" s="1754" t="s">
        <v>1501</v>
      </c>
      <c r="R1102" s="1771"/>
      <c r="S1102" s="1771"/>
      <c r="T1102" s="1771"/>
      <c r="U1102" s="1771"/>
      <c r="V1102" s="1771"/>
      <c r="W1102" s="1771"/>
      <c r="X1102" s="1771"/>
      <c r="Y1102" s="1771"/>
      <c r="Z1102" s="1771"/>
      <c r="AA1102" s="1771"/>
      <c r="AB1102" s="1771"/>
      <c r="AC1102" s="1771"/>
      <c r="AD1102" s="1771"/>
      <c r="AE1102" s="1771"/>
      <c r="AF1102" s="1770"/>
      <c r="AI1102" s="1735" t="str">
        <f>"15:field205:" &amp; IF(I1102="■",1,IF(P1102="■",3,IF(L1102="■",2,0)))</f>
        <v>15:field205:0</v>
      </c>
    </row>
    <row r="1103" spans="1:35" s="1735" customFormat="1" ht="18.75" hidden="1" customHeight="1">
      <c r="A1103" s="1766"/>
      <c r="B1103" s="1765"/>
      <c r="C1103" s="1764"/>
      <c r="D1103" s="1763"/>
      <c r="E1103" s="1762"/>
      <c r="F1103" s="1761"/>
      <c r="G1103" s="1760"/>
      <c r="H1103" s="1759" t="s">
        <v>1500</v>
      </c>
      <c r="I1103" s="1758" t="s">
        <v>194</v>
      </c>
      <c r="J1103" s="1756" t="s">
        <v>750</v>
      </c>
      <c r="K1103" s="1755"/>
      <c r="L1103" s="1757" t="s">
        <v>194</v>
      </c>
      <c r="M1103" s="1756" t="s">
        <v>764</v>
      </c>
      <c r="N1103" s="1755"/>
      <c r="O1103" s="1771"/>
      <c r="P1103" s="1771"/>
      <c r="Q1103" s="1771"/>
      <c r="R1103" s="1771"/>
      <c r="S1103" s="1771"/>
      <c r="T1103" s="1771"/>
      <c r="U1103" s="1771"/>
      <c r="V1103" s="1771"/>
      <c r="W1103" s="1771"/>
      <c r="X1103" s="1771"/>
      <c r="Y1103" s="1771"/>
      <c r="Z1103" s="1771"/>
      <c r="AA1103" s="1771"/>
      <c r="AB1103" s="1771"/>
      <c r="AC1103" s="1771"/>
      <c r="AD1103" s="1771"/>
      <c r="AE1103" s="1771"/>
      <c r="AF1103" s="1770"/>
      <c r="AI1103" s="1735" t="str">
        <f>"15:field186:" &amp; IF(I1103="■",1,IF(L1103="■",2,0))</f>
        <v>15:field186:0</v>
      </c>
    </row>
    <row r="1104" spans="1:35" s="1735" customFormat="1" ht="18.75" hidden="1" customHeight="1">
      <c r="A1104" s="1766"/>
      <c r="B1104" s="1765"/>
      <c r="C1104" s="1764"/>
      <c r="D1104" s="1763"/>
      <c r="E1104" s="1762"/>
      <c r="F1104" s="1761"/>
      <c r="G1104" s="1760"/>
      <c r="H1104" s="1769" t="s">
        <v>1499</v>
      </c>
      <c r="I1104" s="1758" t="s">
        <v>194</v>
      </c>
      <c r="J1104" s="1756" t="s">
        <v>750</v>
      </c>
      <c r="K1104" s="1755"/>
      <c r="L1104" s="1757" t="s">
        <v>194</v>
      </c>
      <c r="M1104" s="1756" t="s">
        <v>764</v>
      </c>
      <c r="N1104" s="1755"/>
      <c r="O1104" s="1768"/>
      <c r="P1104" s="1768"/>
      <c r="Q1104" s="1768"/>
      <c r="R1104" s="1768"/>
      <c r="S1104" s="1768"/>
      <c r="T1104" s="1768"/>
      <c r="U1104" s="1768"/>
      <c r="V1104" s="1768"/>
      <c r="W1104" s="1768"/>
      <c r="X1104" s="1768"/>
      <c r="Y1104" s="1768"/>
      <c r="Z1104" s="1768"/>
      <c r="AA1104" s="1768"/>
      <c r="AB1104" s="1768"/>
      <c r="AC1104" s="1768"/>
      <c r="AD1104" s="1768"/>
      <c r="AE1104" s="1768"/>
      <c r="AF1104" s="1767"/>
      <c r="AI1104" s="1735" t="str">
        <f>"15:field167:" &amp; IF(I1104="■",1,IF(L1104="■",2,0))</f>
        <v>15:field167:0</v>
      </c>
    </row>
    <row r="1105" spans="1:35" s="1735" customFormat="1" ht="18.75" hidden="1" customHeight="1">
      <c r="A1105" s="1766"/>
      <c r="B1105" s="1765"/>
      <c r="C1105" s="1764"/>
      <c r="D1105" s="1763"/>
      <c r="E1105" s="1762"/>
      <c r="F1105" s="1761"/>
      <c r="G1105" s="1760"/>
      <c r="H1105" s="1769" t="s">
        <v>1498</v>
      </c>
      <c r="I1105" s="1758" t="s">
        <v>194</v>
      </c>
      <c r="J1105" s="1756" t="s">
        <v>750</v>
      </c>
      <c r="K1105" s="1755"/>
      <c r="L1105" s="1757" t="s">
        <v>194</v>
      </c>
      <c r="M1105" s="1756" t="s">
        <v>764</v>
      </c>
      <c r="N1105" s="1755"/>
      <c r="O1105" s="1768"/>
      <c r="P1105" s="1768"/>
      <c r="Q1105" s="1768"/>
      <c r="R1105" s="1768"/>
      <c r="S1105" s="1768"/>
      <c r="T1105" s="1768"/>
      <c r="U1105" s="1768"/>
      <c r="V1105" s="1768"/>
      <c r="W1105" s="1768"/>
      <c r="X1105" s="1768"/>
      <c r="Y1105" s="1768"/>
      <c r="Z1105" s="1768"/>
      <c r="AA1105" s="1768"/>
      <c r="AB1105" s="1768"/>
      <c r="AC1105" s="1768"/>
      <c r="AD1105" s="1768"/>
      <c r="AE1105" s="1768"/>
      <c r="AF1105" s="1767"/>
      <c r="AI1105" s="1735" t="str">
        <f>"15:jyakuninti_uke_code:" &amp; IF(I1105="■",1,IF(L1105="■",2,0))</f>
        <v>15:jyakuninti_uke_code:0</v>
      </c>
    </row>
    <row r="1106" spans="1:35" s="1735" customFormat="1" ht="18.75" hidden="1" customHeight="1">
      <c r="A1106" s="1766"/>
      <c r="B1106" s="1765"/>
      <c r="C1106" s="1764"/>
      <c r="D1106" s="1763"/>
      <c r="E1106" s="1762"/>
      <c r="F1106" s="1761"/>
      <c r="G1106" s="1760"/>
      <c r="H1106" s="1738" t="s">
        <v>1497</v>
      </c>
      <c r="I1106" s="1758" t="s">
        <v>194</v>
      </c>
      <c r="J1106" s="1756" t="s">
        <v>750</v>
      </c>
      <c r="K1106" s="1755"/>
      <c r="L1106" s="1757" t="s">
        <v>194</v>
      </c>
      <c r="M1106" s="1756" t="s">
        <v>764</v>
      </c>
      <c r="N1106" s="1755"/>
      <c r="O1106" s="1768"/>
      <c r="P1106" s="1768"/>
      <c r="Q1106" s="1768"/>
      <c r="R1106" s="1768"/>
      <c r="S1106" s="1768"/>
      <c r="T1106" s="1768"/>
      <c r="U1106" s="1768"/>
      <c r="V1106" s="1768"/>
      <c r="W1106" s="1768"/>
      <c r="X1106" s="1768"/>
      <c r="Y1106" s="1768"/>
      <c r="Z1106" s="1768"/>
      <c r="AA1106" s="1768"/>
      <c r="AB1106" s="1768"/>
      <c r="AC1106" s="1768"/>
      <c r="AD1106" s="1768"/>
      <c r="AE1106" s="1768"/>
      <c r="AF1106" s="1767"/>
      <c r="AI1106" s="1735" t="str">
        <f>"15:eiyomana_code:" &amp; IF(I1106="■",1,IF(L1106="■",2,0))</f>
        <v>15:eiyomana_code:0</v>
      </c>
    </row>
    <row r="1107" spans="1:35" s="1735" customFormat="1" ht="18.75" hidden="1" customHeight="1">
      <c r="A1107" s="1766"/>
      <c r="B1107" s="1765"/>
      <c r="C1107" s="1764"/>
      <c r="D1107" s="1763"/>
      <c r="E1107" s="1762"/>
      <c r="F1107" s="1761"/>
      <c r="G1107" s="1760"/>
      <c r="H1107" s="1759" t="s">
        <v>1496</v>
      </c>
      <c r="I1107" s="1758" t="s">
        <v>194</v>
      </c>
      <c r="J1107" s="1756" t="s">
        <v>750</v>
      </c>
      <c r="K1107" s="1755"/>
      <c r="L1107" s="1757" t="s">
        <v>194</v>
      </c>
      <c r="M1107" s="1756" t="s">
        <v>764</v>
      </c>
      <c r="N1107" s="1755"/>
      <c r="O1107" s="1754"/>
      <c r="P1107" s="1754"/>
      <c r="Q1107" s="1754"/>
      <c r="R1107" s="1754"/>
      <c r="S1107" s="1754"/>
      <c r="T1107" s="1754"/>
      <c r="U1107" s="1754"/>
      <c r="V1107" s="1754"/>
      <c r="W1107" s="1754"/>
      <c r="X1107" s="1754"/>
      <c r="Y1107" s="1754"/>
      <c r="Z1107" s="1754"/>
      <c r="AA1107" s="1754"/>
      <c r="AB1107" s="1754"/>
      <c r="AC1107" s="1754"/>
      <c r="AD1107" s="1754"/>
      <c r="AE1107" s="1754"/>
      <c r="AF1107" s="1753"/>
      <c r="AI1107" s="1735" t="str">
        <f>"15:koukoukino_code:" &amp; IF(I1107="■",1,IF(L1107="■",2,0))</f>
        <v>15:koukoukino_code:0</v>
      </c>
    </row>
    <row r="1108" spans="1:35" s="1735" customFormat="1" ht="18.75" hidden="1" customHeight="1">
      <c r="A1108" s="1752"/>
      <c r="B1108" s="1751"/>
      <c r="C1108" s="1750"/>
      <c r="D1108" s="1749"/>
      <c r="E1108" s="1748"/>
      <c r="F1108" s="1747"/>
      <c r="G1108" s="1746"/>
      <c r="H1108" s="1745" t="s">
        <v>456</v>
      </c>
      <c r="I1108" s="1744" t="s">
        <v>194</v>
      </c>
      <c r="J1108" s="1741" t="s">
        <v>750</v>
      </c>
      <c r="K1108" s="1742"/>
      <c r="L1108" s="1743" t="s">
        <v>194</v>
      </c>
      <c r="M1108" s="1741" t="s">
        <v>764</v>
      </c>
      <c r="N1108" s="1742"/>
      <c r="O1108" s="1741"/>
      <c r="P1108" s="1741"/>
      <c r="Q1108" s="1741"/>
      <c r="R1108" s="1741"/>
      <c r="S1108" s="1741"/>
      <c r="T1108" s="1741"/>
      <c r="U1108" s="1741"/>
      <c r="V1108" s="1741"/>
      <c r="W1108" s="1741"/>
      <c r="X1108" s="1741"/>
      <c r="Y1108" s="1741"/>
      <c r="Z1108" s="1741"/>
      <c r="AA1108" s="1741"/>
      <c r="AB1108" s="1741"/>
      <c r="AC1108" s="1741"/>
      <c r="AD1108" s="1741"/>
      <c r="AE1108" s="1741"/>
      <c r="AF1108" s="1740"/>
      <c r="AI1108" s="1735" t="str">
        <f>"15:field212:" &amp; IF(I1108="■",1,IF(L1108="■",2,0))</f>
        <v>15:field212:0</v>
      </c>
    </row>
    <row r="1109" spans="1:35" s="1735" customFormat="1" ht="8.25" hidden="1" customHeight="1">
      <c r="A1109" s="1739"/>
      <c r="B1109" s="1739"/>
      <c r="C1109" s="1734"/>
      <c r="D1109" s="1734"/>
      <c r="E1109" s="1734"/>
      <c r="F1109" s="1734"/>
      <c r="G1109" s="1738"/>
      <c r="H1109" s="1738"/>
      <c r="I1109" s="1738"/>
      <c r="J1109" s="1738"/>
      <c r="K1109" s="1738"/>
      <c r="L1109" s="1738"/>
      <c r="M1109" s="1738"/>
      <c r="N1109" s="1738"/>
      <c r="O1109" s="1738"/>
      <c r="P1109" s="1738"/>
      <c r="Q1109" s="1738"/>
      <c r="R1109" s="1738"/>
      <c r="S1109" s="1738"/>
      <c r="T1109" s="1738"/>
      <c r="U1109" s="1738"/>
      <c r="V1109" s="1738"/>
      <c r="W1109" s="1738"/>
      <c r="X1109" s="1738"/>
      <c r="Y1109" s="1738"/>
      <c r="Z1109" s="1738"/>
      <c r="AA1109" s="1738"/>
      <c r="AB1109" s="1738"/>
      <c r="AC1109" s="1734"/>
      <c r="AD1109" s="1734"/>
      <c r="AE1109" s="1734"/>
      <c r="AF1109" s="1734"/>
    </row>
    <row r="1110" spans="1:35" s="1735" customFormat="1" ht="20.25" hidden="1" customHeight="1">
      <c r="A1110" s="1739"/>
      <c r="B1110" s="1739"/>
      <c r="C1110" s="2" t="s">
        <v>1495</v>
      </c>
      <c r="D1110" s="1738"/>
      <c r="E1110" s="1737"/>
      <c r="F1110" s="1737"/>
      <c r="G1110" s="1737"/>
      <c r="H1110" s="1737"/>
      <c r="I1110" s="1737"/>
      <c r="J1110" s="1737"/>
      <c r="K1110" s="1737"/>
      <c r="L1110" s="1737"/>
      <c r="M1110" s="1737"/>
      <c r="N1110" s="1737"/>
      <c r="O1110" s="1737"/>
      <c r="P1110" s="1737"/>
      <c r="Q1110" s="1737"/>
      <c r="R1110" s="1737"/>
      <c r="S1110" s="1737"/>
      <c r="T1110" s="1737"/>
      <c r="U1110" s="1737"/>
      <c r="V1110" s="1737"/>
      <c r="W1110" s="1734"/>
      <c r="X1110" s="1734"/>
      <c r="Y1110" s="1734"/>
      <c r="Z1110" s="1734"/>
      <c r="AA1110" s="1734"/>
      <c r="AB1110" s="1734"/>
      <c r="AC1110" s="1734"/>
      <c r="AD1110" s="1734"/>
      <c r="AE1110" s="1734"/>
      <c r="AF1110" s="1734"/>
    </row>
  </sheetData>
  <sheetProtection algorithmName="SHA-512" hashValue="7e4Eoc1y4SIRqkobrpRx2NDVcNvlifCMj7902T+QG5n5MoSZn/wUiRatnnkVkM+d/MrdrBlPQPUhv9K+UPdW5A==" saltValue="+P0ZJ0kHkGydyDq4JTKG0w==" spinCount="100000" sheet="1" objects="1" scenarios="1"/>
  <mergeCells count="630">
    <mergeCell ref="H897:H898"/>
    <mergeCell ref="AC897:AF919"/>
    <mergeCell ref="J928:K929"/>
    <mergeCell ref="H880:H881"/>
    <mergeCell ref="Q847:S848"/>
    <mergeCell ref="P882:P883"/>
    <mergeCell ref="Q882:S883"/>
    <mergeCell ref="T882:T883"/>
    <mergeCell ref="U882:X883"/>
    <mergeCell ref="J813:K814"/>
    <mergeCell ref="L813:L814"/>
    <mergeCell ref="M813:N814"/>
    <mergeCell ref="L905:L906"/>
    <mergeCell ref="M905:N906"/>
    <mergeCell ref="M870:N871"/>
    <mergeCell ref="H449:H450"/>
    <mergeCell ref="AC449:AF468"/>
    <mergeCell ref="M928:N929"/>
    <mergeCell ref="AC745:AF778"/>
    <mergeCell ref="H746:H748"/>
    <mergeCell ref="H767:H768"/>
    <mergeCell ref="AC804:AF827"/>
    <mergeCell ref="H805:H807"/>
    <mergeCell ref="H813:H814"/>
    <mergeCell ref="I813:I814"/>
    <mergeCell ref="AC274:AF292"/>
    <mergeCell ref="H275:H276"/>
    <mergeCell ref="H290:H291"/>
    <mergeCell ref="I290:I291"/>
    <mergeCell ref="J290:K291"/>
    <mergeCell ref="L290:L291"/>
    <mergeCell ref="M290:N291"/>
    <mergeCell ref="L204:L205"/>
    <mergeCell ref="M204:N205"/>
    <mergeCell ref="H469:H470"/>
    <mergeCell ref="AC469:AF489"/>
    <mergeCell ref="H471:H472"/>
    <mergeCell ref="H487:H488"/>
    <mergeCell ref="I487:I488"/>
    <mergeCell ref="J487:K488"/>
    <mergeCell ref="L487:L488"/>
    <mergeCell ref="M487:N488"/>
    <mergeCell ref="H920:H921"/>
    <mergeCell ref="AC920:AF943"/>
    <mergeCell ref="H922:H923"/>
    <mergeCell ref="H928:H929"/>
    <mergeCell ref="I928:I929"/>
    <mergeCell ref="AC187:AF206"/>
    <mergeCell ref="H188:H189"/>
    <mergeCell ref="H204:H205"/>
    <mergeCell ref="I204:I205"/>
    <mergeCell ref="J204:K205"/>
    <mergeCell ref="H451:H452"/>
    <mergeCell ref="H466:H467"/>
    <mergeCell ref="I466:I467"/>
    <mergeCell ref="J466:K467"/>
    <mergeCell ref="L466:L467"/>
    <mergeCell ref="M466:N467"/>
    <mergeCell ref="AC231:AF253"/>
    <mergeCell ref="H232:H233"/>
    <mergeCell ref="H251:H252"/>
    <mergeCell ref="I251:I252"/>
    <mergeCell ref="J251:K252"/>
    <mergeCell ref="L251:L252"/>
    <mergeCell ref="M251:N252"/>
    <mergeCell ref="H1094:H1095"/>
    <mergeCell ref="I1094:I1095"/>
    <mergeCell ref="J1094:K1095"/>
    <mergeCell ref="L1094:L1095"/>
    <mergeCell ref="M1094:N1095"/>
    <mergeCell ref="H1096:H1097"/>
    <mergeCell ref="I1096:I1097"/>
    <mergeCell ref="J1096:K1097"/>
    <mergeCell ref="L1096:L1097"/>
    <mergeCell ref="M1096:N1097"/>
    <mergeCell ref="H1090:H1091"/>
    <mergeCell ref="I1090:I1091"/>
    <mergeCell ref="J1090:K1091"/>
    <mergeCell ref="L1090:L1091"/>
    <mergeCell ref="M1090:N1091"/>
    <mergeCell ref="H1092:H1093"/>
    <mergeCell ref="I1092:I1093"/>
    <mergeCell ref="J1092:K1093"/>
    <mergeCell ref="L1092:L1093"/>
    <mergeCell ref="M1092:N1093"/>
    <mergeCell ref="H1079:H1080"/>
    <mergeCell ref="I1079:I1080"/>
    <mergeCell ref="J1079:L1080"/>
    <mergeCell ref="M1079:M1080"/>
    <mergeCell ref="N1079:P1080"/>
    <mergeCell ref="H1082:H1083"/>
    <mergeCell ref="I1082:I1083"/>
    <mergeCell ref="J1082:K1083"/>
    <mergeCell ref="L1082:L1083"/>
    <mergeCell ref="M1082:N1083"/>
    <mergeCell ref="H1072:H1073"/>
    <mergeCell ref="I1072:I1073"/>
    <mergeCell ref="J1072:L1073"/>
    <mergeCell ref="M1072:M1073"/>
    <mergeCell ref="N1072:P1073"/>
    <mergeCell ref="H1077:H1078"/>
    <mergeCell ref="I1077:I1078"/>
    <mergeCell ref="J1077:L1078"/>
    <mergeCell ref="M1077:M1078"/>
    <mergeCell ref="N1077:P1078"/>
    <mergeCell ref="AC1059:AC1060"/>
    <mergeCell ref="H1070:H1071"/>
    <mergeCell ref="I1070:I1071"/>
    <mergeCell ref="J1070:L1071"/>
    <mergeCell ref="M1070:M1071"/>
    <mergeCell ref="N1070:P1071"/>
    <mergeCell ref="H1064:H1065"/>
    <mergeCell ref="I1064:I1065"/>
    <mergeCell ref="J1064:L1065"/>
    <mergeCell ref="M1064:M1065"/>
    <mergeCell ref="N1064:P1065"/>
    <mergeCell ref="H1062:H1063"/>
    <mergeCell ref="I1062:I1063"/>
    <mergeCell ref="J1062:L1063"/>
    <mergeCell ref="M1062:M1063"/>
    <mergeCell ref="N1062:P1063"/>
    <mergeCell ref="AF1059:AF1060"/>
    <mergeCell ref="AD1059:AD1060"/>
    <mergeCell ref="AE1059:AE1060"/>
    <mergeCell ref="T1059:T1060"/>
    <mergeCell ref="U1059:U1060"/>
    <mergeCell ref="V1059:V1060"/>
    <mergeCell ref="W1059:W1060"/>
    <mergeCell ref="X1059:X1060"/>
    <mergeCell ref="Y1059:Y1060"/>
    <mergeCell ref="Z1059:Z1060"/>
    <mergeCell ref="AC1057:AC1058"/>
    <mergeCell ref="AD1057:AD1058"/>
    <mergeCell ref="S1057:S1058"/>
    <mergeCell ref="T1057:T1058"/>
    <mergeCell ref="U1057:U1058"/>
    <mergeCell ref="V1057:V1058"/>
    <mergeCell ref="W1057:W1058"/>
    <mergeCell ref="X1057:X1058"/>
    <mergeCell ref="R1059:R1060"/>
    <mergeCell ref="S1059:S1060"/>
    <mergeCell ref="Y1057:Y1058"/>
    <mergeCell ref="Z1057:Z1058"/>
    <mergeCell ref="AA1057:AA1058"/>
    <mergeCell ref="AB1057:AB1058"/>
    <mergeCell ref="AA1059:AA1060"/>
    <mergeCell ref="AB1059:AB1060"/>
    <mergeCell ref="H1055:H1056"/>
    <mergeCell ref="I1055:I1056"/>
    <mergeCell ref="AE1057:AE1058"/>
    <mergeCell ref="AF1057:AF1058"/>
    <mergeCell ref="H1059:H1060"/>
    <mergeCell ref="I1059:I1060"/>
    <mergeCell ref="J1059:L1060"/>
    <mergeCell ref="M1059:M1060"/>
    <mergeCell ref="N1059:P1060"/>
    <mergeCell ref="Q1059:Q1060"/>
    <mergeCell ref="AC1055:AC1056"/>
    <mergeCell ref="R1055:R1056"/>
    <mergeCell ref="S1055:S1056"/>
    <mergeCell ref="T1055:T1056"/>
    <mergeCell ref="U1055:U1056"/>
    <mergeCell ref="V1055:V1056"/>
    <mergeCell ref="W1055:W1056"/>
    <mergeCell ref="AE1055:AE1056"/>
    <mergeCell ref="AF1055:AF1056"/>
    <mergeCell ref="H1057:H1058"/>
    <mergeCell ref="I1057:I1058"/>
    <mergeCell ref="J1057:L1058"/>
    <mergeCell ref="M1057:M1058"/>
    <mergeCell ref="N1057:P1058"/>
    <mergeCell ref="Q1057:Q1058"/>
    <mergeCell ref="R1057:R1058"/>
    <mergeCell ref="X1055:X1056"/>
    <mergeCell ref="H1053:H1054"/>
    <mergeCell ref="I1053:I1054"/>
    <mergeCell ref="J1053:K1054"/>
    <mergeCell ref="L1053:L1054"/>
    <mergeCell ref="M1053:N1054"/>
    <mergeCell ref="AD1055:AD1056"/>
    <mergeCell ref="Y1055:Y1056"/>
    <mergeCell ref="Z1055:Z1056"/>
    <mergeCell ref="AA1055:AA1056"/>
    <mergeCell ref="AB1055:AB1056"/>
    <mergeCell ref="J1055:L1056"/>
    <mergeCell ref="M1055:M1056"/>
    <mergeCell ref="N1055:P1056"/>
    <mergeCell ref="Q1055:Q1056"/>
    <mergeCell ref="L1051:L1052"/>
    <mergeCell ref="M1051:N1052"/>
    <mergeCell ref="A1039:AF1039"/>
    <mergeCell ref="S1041:V1041"/>
    <mergeCell ref="A1043:C1043"/>
    <mergeCell ref="D1043:E1043"/>
    <mergeCell ref="F1043:G1043"/>
    <mergeCell ref="H1043:AF1043"/>
    <mergeCell ref="A1044:C1045"/>
    <mergeCell ref="H1044:H1045"/>
    <mergeCell ref="H1046:H1048"/>
    <mergeCell ref="H1051:H1052"/>
    <mergeCell ref="I1051:I1052"/>
    <mergeCell ref="J1051:K1052"/>
    <mergeCell ref="AC979:AF1013"/>
    <mergeCell ref="H981:H982"/>
    <mergeCell ref="H988:H989"/>
    <mergeCell ref="I988:I989"/>
    <mergeCell ref="J988:K989"/>
    <mergeCell ref="L988:L989"/>
    <mergeCell ref="M988:N989"/>
    <mergeCell ref="H995:H996"/>
    <mergeCell ref="H997:H998"/>
    <mergeCell ref="H999:H1000"/>
    <mergeCell ref="I999:I1000"/>
    <mergeCell ref="J999:K1000"/>
    <mergeCell ref="L999:L1000"/>
    <mergeCell ref="M999:O1000"/>
    <mergeCell ref="P999:P1000"/>
    <mergeCell ref="Q999:S1000"/>
    <mergeCell ref="H1014:H1015"/>
    <mergeCell ref="AC1014:AF1037"/>
    <mergeCell ref="H1016:H1017"/>
    <mergeCell ref="H1023:H1024"/>
    <mergeCell ref="I1023:I1024"/>
    <mergeCell ref="J1023:K1024"/>
    <mergeCell ref="L1023:L1024"/>
    <mergeCell ref="M1023:N1024"/>
    <mergeCell ref="H960:H961"/>
    <mergeCell ref="H962:H963"/>
    <mergeCell ref="H964:H965"/>
    <mergeCell ref="I964:I965"/>
    <mergeCell ref="J964:K965"/>
    <mergeCell ref="L964:L965"/>
    <mergeCell ref="M964:O965"/>
    <mergeCell ref="P964:P965"/>
    <mergeCell ref="Q964:S965"/>
    <mergeCell ref="T964:T965"/>
    <mergeCell ref="U964:X965"/>
    <mergeCell ref="H979:H980"/>
    <mergeCell ref="T999:T1000"/>
    <mergeCell ref="U999:X1000"/>
    <mergeCell ref="H944:H945"/>
    <mergeCell ref="AC944:AF978"/>
    <mergeCell ref="H946:H947"/>
    <mergeCell ref="H953:H954"/>
    <mergeCell ref="I953:I954"/>
    <mergeCell ref="J953:K954"/>
    <mergeCell ref="L953:L954"/>
    <mergeCell ref="M953:N954"/>
    <mergeCell ref="H847:H848"/>
    <mergeCell ref="I847:I848"/>
    <mergeCell ref="J847:K848"/>
    <mergeCell ref="L847:L848"/>
    <mergeCell ref="M847:O848"/>
    <mergeCell ref="P847:P848"/>
    <mergeCell ref="L882:L883"/>
    <mergeCell ref="M882:O883"/>
    <mergeCell ref="H862:H863"/>
    <mergeCell ref="AC862:AF896"/>
    <mergeCell ref="H864:H865"/>
    <mergeCell ref="H870:H871"/>
    <mergeCell ref="I870:I871"/>
    <mergeCell ref="J870:K871"/>
    <mergeCell ref="L870:L871"/>
    <mergeCell ref="H878:H879"/>
    <mergeCell ref="H845:H846"/>
    <mergeCell ref="T847:T848"/>
    <mergeCell ref="U847:X848"/>
    <mergeCell ref="H899:H900"/>
    <mergeCell ref="H905:H906"/>
    <mergeCell ref="I905:I906"/>
    <mergeCell ref="J905:K906"/>
    <mergeCell ref="H882:H883"/>
    <mergeCell ref="I882:I883"/>
    <mergeCell ref="J882:K883"/>
    <mergeCell ref="L928:L929"/>
    <mergeCell ref="H828:H829"/>
    <mergeCell ref="AC828:AF861"/>
    <mergeCell ref="H830:H831"/>
    <mergeCell ref="H836:H837"/>
    <mergeCell ref="I836:I837"/>
    <mergeCell ref="J836:K837"/>
    <mergeCell ref="L836:L837"/>
    <mergeCell ref="M836:N837"/>
    <mergeCell ref="H843:H844"/>
    <mergeCell ref="AC597:AF607"/>
    <mergeCell ref="H600:H601"/>
    <mergeCell ref="I600:I601"/>
    <mergeCell ref="J600:L601"/>
    <mergeCell ref="M600:M601"/>
    <mergeCell ref="N600:P601"/>
    <mergeCell ref="H602:H603"/>
    <mergeCell ref="I602:I603"/>
    <mergeCell ref="J602:L603"/>
    <mergeCell ref="AC647:AF678"/>
    <mergeCell ref="H648:H650"/>
    <mergeCell ref="AC710:AF744"/>
    <mergeCell ref="H711:H713"/>
    <mergeCell ref="H733:H734"/>
    <mergeCell ref="AC679:AF709"/>
    <mergeCell ref="H680:H682"/>
    <mergeCell ref="AC779:AF803"/>
    <mergeCell ref="H780:H782"/>
    <mergeCell ref="H788:H789"/>
    <mergeCell ref="I788:I789"/>
    <mergeCell ref="J788:K789"/>
    <mergeCell ref="L788:L789"/>
    <mergeCell ref="M788:N789"/>
    <mergeCell ref="AC591:AF596"/>
    <mergeCell ref="H593:H594"/>
    <mergeCell ref="I593:I594"/>
    <mergeCell ref="J593:L594"/>
    <mergeCell ref="M593:M594"/>
    <mergeCell ref="N593:P594"/>
    <mergeCell ref="H595:H596"/>
    <mergeCell ref="I595:I596"/>
    <mergeCell ref="J595:L596"/>
    <mergeCell ref="M595:M596"/>
    <mergeCell ref="M602:M603"/>
    <mergeCell ref="N595:P596"/>
    <mergeCell ref="H597:H598"/>
    <mergeCell ref="I597:I598"/>
    <mergeCell ref="J597:K598"/>
    <mergeCell ref="L597:L598"/>
    <mergeCell ref="M597:O598"/>
    <mergeCell ref="N602:P603"/>
    <mergeCell ref="H515:H516"/>
    <mergeCell ref="AC515:AF539"/>
    <mergeCell ref="H517:H518"/>
    <mergeCell ref="H531:H532"/>
    <mergeCell ref="H533:H534"/>
    <mergeCell ref="H537:H538"/>
    <mergeCell ref="I537:I538"/>
    <mergeCell ref="J537:K538"/>
    <mergeCell ref="L537:L538"/>
    <mergeCell ref="M537:N538"/>
    <mergeCell ref="H540:H541"/>
    <mergeCell ref="AC540:AF560"/>
    <mergeCell ref="H542:H543"/>
    <mergeCell ref="H558:H559"/>
    <mergeCell ref="I558:I559"/>
    <mergeCell ref="J558:K559"/>
    <mergeCell ref="L558:L559"/>
    <mergeCell ref="M558:N559"/>
    <mergeCell ref="H490:H491"/>
    <mergeCell ref="AC490:AF514"/>
    <mergeCell ref="H492:H493"/>
    <mergeCell ref="H506:H507"/>
    <mergeCell ref="H508:H509"/>
    <mergeCell ref="H512:H513"/>
    <mergeCell ref="I512:I513"/>
    <mergeCell ref="J512:K513"/>
    <mergeCell ref="L512:L513"/>
    <mergeCell ref="M512:N513"/>
    <mergeCell ref="AC424:AF448"/>
    <mergeCell ref="H426:H427"/>
    <mergeCell ref="H440:H441"/>
    <mergeCell ref="H442:H443"/>
    <mergeCell ref="H446:H447"/>
    <mergeCell ref="I446:I447"/>
    <mergeCell ref="J446:K447"/>
    <mergeCell ref="L446:L447"/>
    <mergeCell ref="M446:N447"/>
    <mergeCell ref="H424:H425"/>
    <mergeCell ref="H400:H401"/>
    <mergeCell ref="AC400:AF423"/>
    <mergeCell ref="H402:H403"/>
    <mergeCell ref="H415:H416"/>
    <mergeCell ref="H417:H418"/>
    <mergeCell ref="H421:H422"/>
    <mergeCell ref="I421:I422"/>
    <mergeCell ref="J421:K422"/>
    <mergeCell ref="L421:L422"/>
    <mergeCell ref="M421:N422"/>
    <mergeCell ref="AC361:AF379"/>
    <mergeCell ref="H371:H372"/>
    <mergeCell ref="H374:H375"/>
    <mergeCell ref="H377:H378"/>
    <mergeCell ref="I377:I378"/>
    <mergeCell ref="J377:K378"/>
    <mergeCell ref="L377:L378"/>
    <mergeCell ref="M377:N378"/>
    <mergeCell ref="AC380:AF399"/>
    <mergeCell ref="H392:H393"/>
    <mergeCell ref="H394:H395"/>
    <mergeCell ref="H397:H398"/>
    <mergeCell ref="I397:I398"/>
    <mergeCell ref="J397:K398"/>
    <mergeCell ref="L397:L398"/>
    <mergeCell ref="M397:N398"/>
    <mergeCell ref="H338:H339"/>
    <mergeCell ref="AC338:AF360"/>
    <mergeCell ref="H353:H354"/>
    <mergeCell ref="H355:H356"/>
    <mergeCell ref="H358:H359"/>
    <mergeCell ref="I358:I359"/>
    <mergeCell ref="J358:K359"/>
    <mergeCell ref="L358:L359"/>
    <mergeCell ref="M358:N359"/>
    <mergeCell ref="H315:H316"/>
    <mergeCell ref="AC315:AF337"/>
    <mergeCell ref="H330:H331"/>
    <mergeCell ref="H332:H333"/>
    <mergeCell ref="H335:H336"/>
    <mergeCell ref="I335:I336"/>
    <mergeCell ref="J335:K336"/>
    <mergeCell ref="L335:L336"/>
    <mergeCell ref="M335:N336"/>
    <mergeCell ref="H293:H294"/>
    <mergeCell ref="AC293:AF314"/>
    <mergeCell ref="H307:H308"/>
    <mergeCell ref="H309:H310"/>
    <mergeCell ref="H312:H313"/>
    <mergeCell ref="I312:I313"/>
    <mergeCell ref="J312:K313"/>
    <mergeCell ref="L312:L313"/>
    <mergeCell ref="M312:N313"/>
    <mergeCell ref="AC207:AF230"/>
    <mergeCell ref="H208:H209"/>
    <mergeCell ref="H228:H229"/>
    <mergeCell ref="I228:I229"/>
    <mergeCell ref="J228:K229"/>
    <mergeCell ref="L228:L229"/>
    <mergeCell ref="M228:N229"/>
    <mergeCell ref="AC254:AF273"/>
    <mergeCell ref="H255:H256"/>
    <mergeCell ref="H271:H272"/>
    <mergeCell ref="I271:I272"/>
    <mergeCell ref="J271:K272"/>
    <mergeCell ref="L271:L272"/>
    <mergeCell ref="M271:N272"/>
    <mergeCell ref="P161:Q162"/>
    <mergeCell ref="R161:R162"/>
    <mergeCell ref="S161:T162"/>
    <mergeCell ref="H163:H164"/>
    <mergeCell ref="I163:I164"/>
    <mergeCell ref="J163:K164"/>
    <mergeCell ref="L163:L164"/>
    <mergeCell ref="M163:N164"/>
    <mergeCell ref="AC166:AF186"/>
    <mergeCell ref="H167:H168"/>
    <mergeCell ref="H184:H185"/>
    <mergeCell ref="I184:I185"/>
    <mergeCell ref="J184:K185"/>
    <mergeCell ref="L184:L185"/>
    <mergeCell ref="M184:N185"/>
    <mergeCell ref="O159:O160"/>
    <mergeCell ref="P159:Q160"/>
    <mergeCell ref="R159:R160"/>
    <mergeCell ref="S159:T160"/>
    <mergeCell ref="H161:H162"/>
    <mergeCell ref="I161:I162"/>
    <mergeCell ref="J161:K162"/>
    <mergeCell ref="L161:L162"/>
    <mergeCell ref="M161:N162"/>
    <mergeCell ref="O161:O162"/>
    <mergeCell ref="H151:H152"/>
    <mergeCell ref="I151:I152"/>
    <mergeCell ref="J151:K152"/>
    <mergeCell ref="L151:L152"/>
    <mergeCell ref="M151:N152"/>
    <mergeCell ref="H159:H160"/>
    <mergeCell ref="I159:I160"/>
    <mergeCell ref="J159:K160"/>
    <mergeCell ref="L159:L160"/>
    <mergeCell ref="M159:N160"/>
    <mergeCell ref="H111:H112"/>
    <mergeCell ref="AC111:AF133"/>
    <mergeCell ref="H115:H117"/>
    <mergeCell ref="I115:I117"/>
    <mergeCell ref="J115:K117"/>
    <mergeCell ref="L115:L117"/>
    <mergeCell ref="M115:N117"/>
    <mergeCell ref="H122:H123"/>
    <mergeCell ref="I122:I123"/>
    <mergeCell ref="J122:K123"/>
    <mergeCell ref="L122:L123"/>
    <mergeCell ref="M122:N123"/>
    <mergeCell ref="H140:H141"/>
    <mergeCell ref="I140:I141"/>
    <mergeCell ref="J140:K141"/>
    <mergeCell ref="L140:L141"/>
    <mergeCell ref="M140:N141"/>
    <mergeCell ref="H94:H95"/>
    <mergeCell ref="I94:I95"/>
    <mergeCell ref="J94:K95"/>
    <mergeCell ref="L94:L95"/>
    <mergeCell ref="M94:N95"/>
    <mergeCell ref="H96:H97"/>
    <mergeCell ref="I96:I97"/>
    <mergeCell ref="J96:K97"/>
    <mergeCell ref="L96:L97"/>
    <mergeCell ref="M96:N97"/>
    <mergeCell ref="H90:H91"/>
    <mergeCell ref="I90:I91"/>
    <mergeCell ref="J90:K91"/>
    <mergeCell ref="L90:L91"/>
    <mergeCell ref="M90:N91"/>
    <mergeCell ref="H92:H93"/>
    <mergeCell ref="I92:I93"/>
    <mergeCell ref="J92:K93"/>
    <mergeCell ref="L92:L93"/>
    <mergeCell ref="M92:N93"/>
    <mergeCell ref="AC76:AF82"/>
    <mergeCell ref="H77:H78"/>
    <mergeCell ref="I77:I78"/>
    <mergeCell ref="J77:L78"/>
    <mergeCell ref="M77:M78"/>
    <mergeCell ref="N77:P78"/>
    <mergeCell ref="H79:H80"/>
    <mergeCell ref="I79:I80"/>
    <mergeCell ref="J79:L80"/>
    <mergeCell ref="M79:M80"/>
    <mergeCell ref="N79:P80"/>
    <mergeCell ref="H86:H88"/>
    <mergeCell ref="I86:I88"/>
    <mergeCell ref="J86:K88"/>
    <mergeCell ref="L86:L88"/>
    <mergeCell ref="M86:N88"/>
    <mergeCell ref="AC46:AF62"/>
    <mergeCell ref="N49:P50"/>
    <mergeCell ref="H51:H52"/>
    <mergeCell ref="I51:I52"/>
    <mergeCell ref="J51:L52"/>
    <mergeCell ref="M51:M52"/>
    <mergeCell ref="N51:P52"/>
    <mergeCell ref="AC63:AF75"/>
    <mergeCell ref="H66:H67"/>
    <mergeCell ref="I66:I67"/>
    <mergeCell ref="J66:L67"/>
    <mergeCell ref="M66:M67"/>
    <mergeCell ref="N66:P67"/>
    <mergeCell ref="H68:H69"/>
    <mergeCell ref="I68:I69"/>
    <mergeCell ref="J68:L69"/>
    <mergeCell ref="H71:H72"/>
    <mergeCell ref="I71:I72"/>
    <mergeCell ref="J71:K72"/>
    <mergeCell ref="L71:L72"/>
    <mergeCell ref="M71:N72"/>
    <mergeCell ref="H60:H62"/>
    <mergeCell ref="H49:H50"/>
    <mergeCell ref="I49:I50"/>
    <mergeCell ref="J49:L50"/>
    <mergeCell ref="M49:M50"/>
    <mergeCell ref="M68:M69"/>
    <mergeCell ref="N68:P69"/>
    <mergeCell ref="H38:H39"/>
    <mergeCell ref="I38:I39"/>
    <mergeCell ref="J38:L39"/>
    <mergeCell ref="M38:M39"/>
    <mergeCell ref="N38:P39"/>
    <mergeCell ref="H40:H41"/>
    <mergeCell ref="I40:I41"/>
    <mergeCell ref="J40:L41"/>
    <mergeCell ref="M40:M41"/>
    <mergeCell ref="N40:P41"/>
    <mergeCell ref="T25:T26"/>
    <mergeCell ref="U25:U26"/>
    <mergeCell ref="V25:V26"/>
    <mergeCell ref="H30:H31"/>
    <mergeCell ref="I30:I31"/>
    <mergeCell ref="J30:L31"/>
    <mergeCell ref="M30:M31"/>
    <mergeCell ref="N30:P31"/>
    <mergeCell ref="W25:W26"/>
    <mergeCell ref="X25:X26"/>
    <mergeCell ref="H28:H29"/>
    <mergeCell ref="I28:I29"/>
    <mergeCell ref="J28:L29"/>
    <mergeCell ref="M28:M29"/>
    <mergeCell ref="N28:P29"/>
    <mergeCell ref="Q25:Q26"/>
    <mergeCell ref="R25:R26"/>
    <mergeCell ref="S25:S26"/>
    <mergeCell ref="T23:T24"/>
    <mergeCell ref="U23:U24"/>
    <mergeCell ref="V23:V24"/>
    <mergeCell ref="W23:W24"/>
    <mergeCell ref="X23:X24"/>
    <mergeCell ref="H25:H26"/>
    <mergeCell ref="I25:I26"/>
    <mergeCell ref="J25:L26"/>
    <mergeCell ref="M25:M26"/>
    <mergeCell ref="N25:P26"/>
    <mergeCell ref="Q21:Q22"/>
    <mergeCell ref="R21:R22"/>
    <mergeCell ref="S21:S22"/>
    <mergeCell ref="T21:T22"/>
    <mergeCell ref="U21:U22"/>
    <mergeCell ref="V21:V22"/>
    <mergeCell ref="W21:W22"/>
    <mergeCell ref="X21:X22"/>
    <mergeCell ref="H23:H24"/>
    <mergeCell ref="I23:I24"/>
    <mergeCell ref="J23:L24"/>
    <mergeCell ref="M23:M24"/>
    <mergeCell ref="N23:P24"/>
    <mergeCell ref="Q23:Q24"/>
    <mergeCell ref="R23:R24"/>
    <mergeCell ref="S23:S24"/>
    <mergeCell ref="J19:K20"/>
    <mergeCell ref="L19:L20"/>
    <mergeCell ref="M19:N20"/>
    <mergeCell ref="H21:H22"/>
    <mergeCell ref="I21:I22"/>
    <mergeCell ref="J21:L22"/>
    <mergeCell ref="M21:M22"/>
    <mergeCell ref="N21:P22"/>
    <mergeCell ref="A8:C9"/>
    <mergeCell ref="D8:E9"/>
    <mergeCell ref="F8:G9"/>
    <mergeCell ref="H8:H9"/>
    <mergeCell ref="H19:H20"/>
    <mergeCell ref="I19:I20"/>
    <mergeCell ref="H10:H12"/>
    <mergeCell ref="H17:H18"/>
    <mergeCell ref="I17:I18"/>
    <mergeCell ref="J17:K18"/>
    <mergeCell ref="L17:L18"/>
    <mergeCell ref="M17:N18"/>
    <mergeCell ref="Y8:AB9"/>
    <mergeCell ref="AC8:AF9"/>
    <mergeCell ref="A3:AF3"/>
    <mergeCell ref="S5:V5"/>
    <mergeCell ref="A7:C7"/>
    <mergeCell ref="D7:E7"/>
    <mergeCell ref="F7:G7"/>
    <mergeCell ref="H7:X7"/>
    <mergeCell ref="Y7:AB7"/>
    <mergeCell ref="AC7:AF7"/>
  </mergeCells>
  <phoneticPr fontId="3"/>
  <dataValidations count="1">
    <dataValidation type="list" allowBlank="1" showInputMessage="1" showErrorMessage="1" sqref="Q8:Q9 U8:U9 Y10:Y11 AC10:AC11 M13:M14 R15 I1044:I1108 M54 F878:F880 Q135 R159:R162 Y207:Y208 Y254:Y255 Y293:Y294 Y315:Y316 Y338:Y339 Y400:Y401 Y424:Y425 Y449:Y450 Y490:Y491 Y515:Y516 Y540:Y541 M83:M85 Y134:Y135 O75 O53 A69 M49:M52 AC83:AC84 L86:L88 O44:O45 O99 O101 Q111:Q112 D96:D98 O33:O34 L115:L117 O120 U946 U121 D68:D70 O157:O162 F843:F845 O143 O146:O147 Q167:Q168 Y166:Y167 L174:L177 U167 O181:O183 Q208:Q209 U208 N216 S216 L215 M219 O225:O227 R227 Q255:Q256 U255 P220 O268:O270 U295 Q293 O305:O306 P307 M309 Q309:Q310 O311 R311 Q315 Q317 U317 F307 M325 P330 O328:O329 M332 O334 R334 Q332:Q333 Q340 Q338 U340 O351:O352 P353 M355 Q355:Q356 O357 R357 L813:L827 L366 O370 P371 M374 Q374:Q375 O376 R376 L386 P392 M394 O390:O391 O396 R396 D1097:D1099 Q400 Q394:Q395 M410 O413:O414 P415 M417 O419:O420 R420 Q424 Q426 L434 L436:L439 O438:O439 P440 M442 O444:O445 R445 Q449 Q451 L458 R465 Q490 Q492 L500 L502:L505 O504:O505 P506 M508 R511 O510:O511 Q515 Q517 L525 L527:L530 O529:O530 P531 M533 R536 O535:O536 M561:M564 Q540 Q542 L550 D550 R557 L1023:L1024 A97 L90:L110 F176:F177 M154 D118:D126 F303 O165 D458 L623:L633 O565 F324 L324 F326 L349:L352 F328 L373 A349 F367 L388:L391 O560 F411:F413 A282 A458 M515:M524 D502 D527 A550 D53:D55 Y76:Y77 A149 A218 L119:L120 A326 L769:L778 O588:O590 A502 F550:F551 A569 Y561:Y562 Q561 O567 AC561:AC562 L122:L133 M593:M596 L597:L599 O605 R605 U605 F391 P609 L615:L621 L609 M608 T609 Q620 M622 O629 O633 M634 Y608:Y609 AC608:AC609 D567:D572 A624 M651:M655 U648 O666:O668 O662 Y647:Y648 M600:M603 Q648:Q649 A662 M714:M718 U711 O731:O732 A1098 P726 Q733:Q734 Y710:Y711 AC580:AC581 O707:O709 R743:R744 U780 Q711:Q712 Y779:Y780 O1067 D844 U678 Q1014 Q150 O58 F960:F961 O635:O636 O570 M118 Q70 O124 T847:T848 M845 L140:L153 U864 R183 L905:L906 R270 T964:T965 Q962:Q963 D148:D151 T999:T1000 M997 M1025:M1026 L847:L861 T882:T883 O912:O914 Q845:Q846 O967:O969 Y862:Y863 O1002:O1004 M907:M908 O1030:O1032 M962 M265 Q417:Q418 Q442:Q443 O462:O465 Q508:Q509 Q533:Q534 O554:O557 Q997:Q998 M302 L301 L326:L329 M293:M300 L368:L370 Y380:Y381 F369 M551 L81:L82 R34 L53 M1070:M1075 O574 L42:L45 M66:M70 L71:L76 L347 O373 O735 Q121 O177 A176 M35:M36 M348 M367 M387 L409 M435 M490:M499 M459 M501 M526 Q780:Q781 Q1081 M1062:M1065 U1016 O1011:O1013 Y1014:Y1015 M710:M712 L1069 O584 L155:L165 R360 R379 R514 L604:L607 L933:L943 L727:L732 A527 R624 F301 F309 R206 U34 M63:M64 L1090:L1108 O1099 O1101 P102 Y46:Y47 Y111:Y112 M121 R132:R133 A412 Y897:Y898 AC134:AC135 O109:O110 F373 M178 L217:L218 R109:R110 O132:O133 L262:L264 U165 O186 O230 U292:U293 L179:L186 U230 L221:L230 D349:D350 R314 O314 L334:L337 O337 O360 R423 R399 U360 O379 O399 L419:L423 O423 L444:L448 R448 O514 O448 O468 U489:U490 L510:L514 A602 M8:M9 U15 L15:L20 M21:M26 L27 M28:M31 L32:L34 L37 M38:M41 P1102 O42 L48 L303:L306 L55:L59 Q60:Q61 L65 A54 Y361:Y362 A40 F1025:F1026 A79 M77:M80 M111:M114 Q83 Y83:Y84 M89 M134:M139 U110:U111 L411:L414 Q402 L592 A593 F662:F663 Y597:Y598 M610:M614 O797:O798 U744 Q828 Q830 U830 Y828:Y829 L836:L837 M838:M839 L840:L842 P843 P847:P848 O850:O852 O801:O803 L875:L877 P878 Q862 Q864 O885:O887 P882:P883 L882:L896 Q897 Q899 U899 O917:O919 L953:L954 M955:M956 L957:L959 P960 P964:P965 L964:L978 Y944:Y945 O976:O978 Q979 Q981 U981 Y979:Y980 L988:L989 M990:M991 L992:L994 P995 L999:L1013 P999:P1000 R977:R978 Q1016 M1014:M1022 M1044:M1045 Q1044:Q1045 U1044:U1045 L1051:L1054 M1055:M1060 L1061 L1076 M1077:M1081 L1082:L1085 M1086:M1089 Q1086 U45 U133 U186 L266:L273 L357:L360 L396:L399 R468 U514:U515 R589:R590 L584:L590 O539 U539:U540 L565:L579 U827:U828 U646 R677:R678 O859:O861 U861:U862 R918:R919 U896:U897 U943:U944 L552:L560 L1027:L1037 D1025 A1025 M897:M904 D996 A996 M979:M987 D960 A960 Y580:Y581 A727 Y591:Y592 D907 D815 M862:M869 A844 M828:M835 M779:M787 M591 Q580 M647:M649 M338:M346 M361:M365 F349:F350 A1079 A1071 A1057 D1056:D1058 D1070:D1072 D1078:D1080 U314:U315 U399:U400 U423:U424 U448:U449 U590 U579 O742:O744 R802:R803 R860:R861 O894:O896 Y63:Y64 U978:U979 O1035:O1037 L311:L314 U337:U338 F371 U379 U560 R578:R579 R1013 U1013:U1014 U1037 O15 A22 Y35:Y36 L1066:L1067 AC35:AC36 R44:R45 R165 R273 R337 L376:L379 L535:L539 R539 R560 L635:L646 R645:R646 O644:O646 R895:R896 R1036:R1037 Q295 R253 O292 M315:M323 M380:M385 F387 M400:M408 D282 M449:M457 M580:M583 M944:M952 A907 D879 A879 M1049:M1050 M1068 Q946 D21:D23 M46:M47 A122 D304 A304 F305 F299 D326 D370 A370 D389 F389 A389 D412 M424:M433 F435:F437 L481:L489 F502:F503 M540:M549 F568:F569 A585 D584:D587 D623:D626 O623:O624 O577:O579 M880 Q880:Q881 Q944 D176 R186 Q188:Q189 Y187:Y188 L194:L197 U188 O201:O203 M187:M193 M166:M173 R203 O197 A196 F196:F197 M198 O206 L199:L206 U206 D196 D217:D218 R230 Y231:Y232 Q232:Q233 U232 N239 S239 L238 M242 O248:O250 R250 P243 A241 L240:L241 O253 U253 L244:L253 M207:M214 D241:D242 M254:M261 U273 O273 Y274:Y275 Q275:Q276 U275 A263 O287:O289 R289 M274:M280 M284 L281:L283 L285:L292 R292 D263 M231:M237 A436 D436 U468:U469 L460:L468 Y469:Y470 Q469 Q471 L479 R486 D479 A479 O483:O486 M480 O489 R489 F479 F458 M469:M478 L658:L678 L656 M657 O676:O678 M683:M687 U680 O697:O699 O693 Y679:Y680 Q680:Q681 A693 D662 U709 F693:F694 R708:R709 M679:M681 L688:L709 D693 D726:D727 L735:L744 M720 L754:L759 M749:M753 U746 O765:O766 P760 Q767:Q768 Y745:Y746 R777:R778 Q746:Q747 O769 M745:M747 L761:L766 U778 A761 O776:O778 D760:D761 L719 L721:L725 L791:L803 U803 M790 D790 U805 Y804:Y805 Q805:Q806 O821:O822 O825:O827 A815 M804:M812 R826:R827 L788:L789 A790 L870:L871 M930:M932 U919:U920 L909:L919 L928:L929 O936:O938 F930 F907 Y920:Y921 Q920 Q922 U922 O941:O943 R942:R943 M920:M927 D930 A930 M872:M874 I8:I1037" xr:uid="{8BB28C27-191F-4C86-9028-693068D0D4A3}">
      <formula1>"□,■"</formula1>
    </dataValidation>
  </dataValidations>
  <pageMargins left="0.7" right="0.7" top="0.75" bottom="0.75" header="0.3" footer="0.3"/>
  <pageSetup paperSize="9" scale="50" fitToHeight="0" orientation="landscape" r:id="rId1"/>
  <rowBreaks count="27" manualBreakCount="27">
    <brk id="34" max="16383" man="1"/>
    <brk id="82" max="16383" man="1"/>
    <brk id="133" max="16383" man="1"/>
    <brk id="165" max="16383" man="1"/>
    <brk id="206" max="31" man="1"/>
    <brk id="253" max="16383" man="1"/>
    <brk id="292" max="16383" man="1"/>
    <brk id="337" max="16383" man="1"/>
    <brk id="379" max="16383" man="1"/>
    <brk id="423" max="16383" man="1"/>
    <brk id="468" max="16383" man="1"/>
    <brk id="514" max="16383" man="1"/>
    <brk id="560" max="31" man="1"/>
    <brk id="607" max="16383" man="1"/>
    <brk id="646" max="16383" man="1"/>
    <brk id="678" max="16383" man="1"/>
    <brk id="709" max="16383" man="1"/>
    <brk id="744" max="16383" man="1"/>
    <brk id="778" max="16383" man="1"/>
    <brk id="827" max="16383" man="1"/>
    <brk id="861" max="16383" man="1"/>
    <brk id="896" max="16383" man="1"/>
    <brk id="943" max="16383" man="1"/>
    <brk id="978" max="16383" man="1"/>
    <brk id="1013" max="16383" man="1"/>
    <brk id="1037" max="16383" man="1"/>
    <brk id="108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7CD4D-C92A-45E1-8E4B-FEEA2D108A7D}">
  <sheetPr>
    <tabColor rgb="FFFFFF00"/>
    <pageSetUpPr fitToPage="1"/>
  </sheetPr>
  <dimension ref="A2:AF123"/>
  <sheetViews>
    <sheetView view="pageBreakPreview" zoomScale="70" zoomScaleNormal="100" zoomScaleSheetLayoutView="70" workbookViewId="0">
      <selection activeCell="B9" sqref="B9:AA9"/>
    </sheetView>
  </sheetViews>
  <sheetFormatPr defaultColWidth="4" defaultRowHeight="16.2"/>
  <cols>
    <col min="1" max="1" width="1.44140625" style="503" customWidth="1"/>
    <col min="2" max="12" width="3.21875" style="503" customWidth="1"/>
    <col min="13" max="13" width="13" style="503" customWidth="1"/>
    <col min="14" max="14" width="4.109375" style="503" bestFit="1" customWidth="1"/>
    <col min="15" max="32" width="3.21875" style="503" customWidth="1"/>
    <col min="33" max="33" width="1.44140625" style="503" customWidth="1"/>
    <col min="34" max="36" width="3.21875" style="503" customWidth="1"/>
    <col min="37" max="16384" width="4" style="503"/>
  </cols>
  <sheetData>
    <row r="2" spans="1:32">
      <c r="B2" s="503" t="s">
        <v>1029</v>
      </c>
    </row>
    <row r="4" spans="1:32">
      <c r="W4" s="504" t="s">
        <v>313</v>
      </c>
      <c r="X4" s="1079"/>
      <c r="Y4" s="1079"/>
      <c r="Z4" s="505" t="s">
        <v>34</v>
      </c>
      <c r="AA4" s="1079"/>
      <c r="AB4" s="1079"/>
      <c r="AC4" s="505" t="s">
        <v>261</v>
      </c>
      <c r="AD4" s="1079"/>
      <c r="AE4" s="1079"/>
      <c r="AF4" s="505" t="s">
        <v>29</v>
      </c>
    </row>
    <row r="5" spans="1:32">
      <c r="B5" s="1079"/>
      <c r="C5" s="1079"/>
      <c r="D5" s="1079"/>
      <c r="E5" s="1079"/>
      <c r="F5" s="1079"/>
      <c r="G5" s="1079"/>
      <c r="H5" s="1079" t="s">
        <v>800</v>
      </c>
      <c r="I5" s="1079"/>
      <c r="J5" s="1079"/>
      <c r="K5" s="505" t="s">
        <v>801</v>
      </c>
    </row>
    <row r="7" spans="1:32">
      <c r="S7" s="504" t="s">
        <v>1030</v>
      </c>
      <c r="T7" s="1080"/>
      <c r="U7" s="1080"/>
      <c r="V7" s="1080"/>
      <c r="W7" s="1080"/>
      <c r="X7" s="1080"/>
      <c r="Y7" s="1080"/>
      <c r="Z7" s="1080"/>
      <c r="AA7" s="1080"/>
      <c r="AB7" s="1080"/>
      <c r="AC7" s="1080"/>
      <c r="AD7" s="1080"/>
      <c r="AE7" s="1080"/>
      <c r="AF7" s="1080"/>
    </row>
    <row r="8" spans="1:32">
      <c r="S8" s="504"/>
      <c r="T8" s="505"/>
      <c r="U8" s="505"/>
      <c r="V8" s="505"/>
      <c r="W8" s="505"/>
      <c r="X8" s="505"/>
      <c r="Y8" s="505"/>
      <c r="Z8" s="505"/>
      <c r="AA8" s="505"/>
      <c r="AB8" s="505"/>
      <c r="AC8" s="505"/>
      <c r="AD8" s="505"/>
      <c r="AE8" s="505"/>
      <c r="AF8" s="505"/>
    </row>
    <row r="9" spans="1:32">
      <c r="B9" s="1059" t="s">
        <v>1031</v>
      </c>
      <c r="C9" s="1059"/>
      <c r="D9" s="1059"/>
      <c r="E9" s="1059"/>
      <c r="F9" s="1059"/>
      <c r="G9" s="1059"/>
      <c r="H9" s="1059"/>
      <c r="I9" s="1059"/>
      <c r="J9" s="1059"/>
      <c r="K9" s="1059"/>
      <c r="L9" s="1059"/>
      <c r="M9" s="1059"/>
      <c r="N9" s="1059"/>
      <c r="O9" s="1059"/>
      <c r="P9" s="1059"/>
      <c r="Q9" s="1059"/>
      <c r="R9" s="1059"/>
      <c r="S9" s="1059"/>
      <c r="T9" s="1059"/>
      <c r="U9" s="1059"/>
      <c r="V9" s="1059"/>
      <c r="W9" s="1059"/>
      <c r="X9" s="1059"/>
      <c r="Y9" s="1059"/>
      <c r="Z9" s="1059"/>
      <c r="AA9" s="1059"/>
    </row>
    <row r="10" spans="1:32">
      <c r="B10" s="506"/>
      <c r="C10" s="506"/>
      <c r="D10" s="506"/>
      <c r="E10" s="506"/>
      <c r="F10" s="506"/>
      <c r="G10" s="506"/>
      <c r="H10" s="506"/>
      <c r="I10" s="506"/>
      <c r="J10" s="506"/>
      <c r="K10" s="506"/>
      <c r="L10" s="506"/>
      <c r="M10" s="506"/>
      <c r="N10" s="506"/>
      <c r="O10" s="506"/>
      <c r="P10" s="506"/>
      <c r="Q10" s="506"/>
      <c r="R10" s="506"/>
      <c r="S10" s="506"/>
      <c r="T10" s="506"/>
      <c r="U10" s="506"/>
      <c r="V10" s="506"/>
      <c r="W10" s="506"/>
      <c r="X10" s="506"/>
      <c r="Y10" s="506"/>
      <c r="Z10" s="506"/>
      <c r="AA10" s="506"/>
    </row>
    <row r="11" spans="1:32">
      <c r="A11" s="503" t="s">
        <v>1032</v>
      </c>
    </row>
    <row r="13" spans="1:32" ht="36" customHeight="1">
      <c r="R13" s="1081" t="s">
        <v>55</v>
      </c>
      <c r="S13" s="1082"/>
      <c r="T13" s="1082"/>
      <c r="U13" s="1082"/>
      <c r="V13" s="1083"/>
      <c r="W13" s="507"/>
      <c r="X13" s="508"/>
      <c r="Y13" s="508"/>
      <c r="Z13" s="508"/>
      <c r="AA13" s="508"/>
      <c r="AB13" s="508"/>
      <c r="AC13" s="508"/>
      <c r="AD13" s="508"/>
      <c r="AE13" s="508"/>
      <c r="AF13" s="509"/>
    </row>
    <row r="14" spans="1:32" ht="13.5" customHeight="1"/>
    <row r="15" spans="1:32" s="510" customFormat="1" ht="34.5" customHeight="1">
      <c r="B15" s="1081" t="s">
        <v>1033</v>
      </c>
      <c r="C15" s="1082"/>
      <c r="D15" s="1082"/>
      <c r="E15" s="1082"/>
      <c r="F15" s="1082"/>
      <c r="G15" s="1082"/>
      <c r="H15" s="1082"/>
      <c r="I15" s="1082"/>
      <c r="J15" s="1082"/>
      <c r="K15" s="1082"/>
      <c r="L15" s="1083"/>
      <c r="M15" s="1082" t="s">
        <v>1034</v>
      </c>
      <c r="N15" s="1083"/>
      <c r="O15" s="1081" t="s">
        <v>1035</v>
      </c>
      <c r="P15" s="1082"/>
      <c r="Q15" s="1082"/>
      <c r="R15" s="1082"/>
      <c r="S15" s="1082"/>
      <c r="T15" s="1082"/>
      <c r="U15" s="1082"/>
      <c r="V15" s="1082"/>
      <c r="W15" s="1082"/>
      <c r="X15" s="1082"/>
      <c r="Y15" s="1082"/>
      <c r="Z15" s="1082"/>
      <c r="AA15" s="1082"/>
      <c r="AB15" s="1082"/>
      <c r="AC15" s="1082"/>
      <c r="AD15" s="1082"/>
      <c r="AE15" s="1082"/>
      <c r="AF15" s="1083"/>
    </row>
    <row r="16" spans="1:32" s="510" customFormat="1">
      <c r="B16" s="1044" t="s">
        <v>2</v>
      </c>
      <c r="C16" s="1045"/>
      <c r="D16" s="1045"/>
      <c r="E16" s="1045"/>
      <c r="F16" s="1045"/>
      <c r="G16" s="1045"/>
      <c r="H16" s="1045"/>
      <c r="I16" s="1045"/>
      <c r="J16" s="1045"/>
      <c r="K16" s="1045"/>
      <c r="L16" s="1046"/>
      <c r="M16" s="511" t="s">
        <v>1036</v>
      </c>
      <c r="N16" s="512" t="s">
        <v>1037</v>
      </c>
      <c r="O16" s="1076" t="s">
        <v>1038</v>
      </c>
      <c r="P16" s="1077"/>
      <c r="Q16" s="1077"/>
      <c r="R16" s="1077"/>
      <c r="S16" s="1077"/>
      <c r="T16" s="1077"/>
      <c r="U16" s="1077"/>
      <c r="V16" s="1077"/>
      <c r="W16" s="1077"/>
      <c r="X16" s="1077"/>
      <c r="Y16" s="1077"/>
      <c r="Z16" s="1077"/>
      <c r="AA16" s="1077"/>
      <c r="AB16" s="1077"/>
      <c r="AC16" s="1077"/>
      <c r="AD16" s="1077"/>
      <c r="AE16" s="1077"/>
      <c r="AF16" s="1078"/>
    </row>
    <row r="17" spans="2:32" s="510" customFormat="1">
      <c r="B17" s="1058"/>
      <c r="C17" s="1059"/>
      <c r="D17" s="1059"/>
      <c r="E17" s="1059"/>
      <c r="F17" s="1059"/>
      <c r="G17" s="1059"/>
      <c r="H17" s="1059"/>
      <c r="I17" s="1059"/>
      <c r="J17" s="1059"/>
      <c r="K17" s="1059"/>
      <c r="L17" s="1060"/>
      <c r="M17" s="513"/>
      <c r="N17" s="514" t="s">
        <v>1037</v>
      </c>
      <c r="O17" s="1051"/>
      <c r="P17" s="1052"/>
      <c r="Q17" s="1052"/>
      <c r="R17" s="1052"/>
      <c r="S17" s="1052"/>
      <c r="T17" s="1052"/>
      <c r="U17" s="1052"/>
      <c r="V17" s="1052"/>
      <c r="W17" s="1052"/>
      <c r="X17" s="1052"/>
      <c r="Y17" s="1052"/>
      <c r="Z17" s="1052"/>
      <c r="AA17" s="1052"/>
      <c r="AB17" s="1052"/>
      <c r="AC17" s="1052"/>
      <c r="AD17" s="1052"/>
      <c r="AE17" s="1052"/>
      <c r="AF17" s="1053"/>
    </row>
    <row r="18" spans="2:32" s="510" customFormat="1">
      <c r="B18" s="1061"/>
      <c r="C18" s="1062"/>
      <c r="D18" s="1062"/>
      <c r="E18" s="1062"/>
      <c r="F18" s="1062"/>
      <c r="G18" s="1062"/>
      <c r="H18" s="1062"/>
      <c r="I18" s="1062"/>
      <c r="J18" s="1062"/>
      <c r="K18" s="1062"/>
      <c r="L18" s="1063"/>
      <c r="M18" s="513"/>
      <c r="N18" s="514" t="s">
        <v>1037</v>
      </c>
      <c r="O18" s="1051"/>
      <c r="P18" s="1052"/>
      <c r="Q18" s="1052"/>
      <c r="R18" s="1052"/>
      <c r="S18" s="1052"/>
      <c r="T18" s="1052"/>
      <c r="U18" s="1052"/>
      <c r="V18" s="1052"/>
      <c r="W18" s="1052"/>
      <c r="X18" s="1052"/>
      <c r="Y18" s="1052"/>
      <c r="Z18" s="1052"/>
      <c r="AA18" s="1052"/>
      <c r="AB18" s="1052"/>
      <c r="AC18" s="1052"/>
      <c r="AD18" s="1052"/>
      <c r="AE18" s="1052"/>
      <c r="AF18" s="1053"/>
    </row>
    <row r="19" spans="2:32" s="510" customFormat="1">
      <c r="B19" s="1044" t="s">
        <v>3</v>
      </c>
      <c r="C19" s="1045"/>
      <c r="D19" s="1045"/>
      <c r="E19" s="1045"/>
      <c r="F19" s="1045"/>
      <c r="G19" s="1045"/>
      <c r="H19" s="1045"/>
      <c r="I19" s="1045"/>
      <c r="J19" s="1045"/>
      <c r="K19" s="1045"/>
      <c r="L19" s="1046"/>
      <c r="M19" s="513"/>
      <c r="N19" s="515" t="s">
        <v>1037</v>
      </c>
      <c r="O19" s="1051"/>
      <c r="P19" s="1052"/>
      <c r="Q19" s="1052"/>
      <c r="R19" s="1052"/>
      <c r="S19" s="1052"/>
      <c r="T19" s="1052"/>
      <c r="U19" s="1052"/>
      <c r="V19" s="1052"/>
      <c r="W19" s="1052"/>
      <c r="X19" s="1052"/>
      <c r="Y19" s="1052"/>
      <c r="Z19" s="1052"/>
      <c r="AA19" s="1052"/>
      <c r="AB19" s="1052"/>
      <c r="AC19" s="1052"/>
      <c r="AD19" s="1052"/>
      <c r="AE19" s="1052"/>
      <c r="AF19" s="1053"/>
    </row>
    <row r="20" spans="2:32" s="510" customFormat="1">
      <c r="B20" s="1064"/>
      <c r="C20" s="1065"/>
      <c r="D20" s="1065"/>
      <c r="E20" s="1065"/>
      <c r="F20" s="1065"/>
      <c r="G20" s="1065"/>
      <c r="H20" s="1065"/>
      <c r="I20" s="1065"/>
      <c r="J20" s="1065"/>
      <c r="K20" s="1065"/>
      <c r="L20" s="1066"/>
      <c r="M20" s="513"/>
      <c r="N20" s="515" t="s">
        <v>1037</v>
      </c>
      <c r="O20" s="1051"/>
      <c r="P20" s="1052"/>
      <c r="Q20" s="1052"/>
      <c r="R20" s="1052"/>
      <c r="S20" s="1052"/>
      <c r="T20" s="1052"/>
      <c r="U20" s="1052"/>
      <c r="V20" s="1052"/>
      <c r="W20" s="1052"/>
      <c r="X20" s="1052"/>
      <c r="Y20" s="1052"/>
      <c r="Z20" s="1052"/>
      <c r="AA20" s="1052"/>
      <c r="AB20" s="1052"/>
      <c r="AC20" s="1052"/>
      <c r="AD20" s="1052"/>
      <c r="AE20" s="1052"/>
      <c r="AF20" s="1053"/>
    </row>
    <row r="21" spans="2:32" s="510" customFormat="1">
      <c r="B21" s="1047"/>
      <c r="C21" s="1048"/>
      <c r="D21" s="1048"/>
      <c r="E21" s="1048"/>
      <c r="F21" s="1048"/>
      <c r="G21" s="1048"/>
      <c r="H21" s="1048"/>
      <c r="I21" s="1048"/>
      <c r="J21" s="1048"/>
      <c r="K21" s="1048"/>
      <c r="L21" s="1049"/>
      <c r="M21" s="516"/>
      <c r="N21" s="517" t="s">
        <v>1037</v>
      </c>
      <c r="O21" s="1051"/>
      <c r="P21" s="1052"/>
      <c r="Q21" s="1052"/>
      <c r="R21" s="1052"/>
      <c r="S21" s="1052"/>
      <c r="T21" s="1052"/>
      <c r="U21" s="1052"/>
      <c r="V21" s="1052"/>
      <c r="W21" s="1052"/>
      <c r="X21" s="1052"/>
      <c r="Y21" s="1052"/>
      <c r="Z21" s="1052"/>
      <c r="AA21" s="1052"/>
      <c r="AB21" s="1052"/>
      <c r="AC21" s="1052"/>
      <c r="AD21" s="1052"/>
      <c r="AE21" s="1052"/>
      <c r="AF21" s="1053"/>
    </row>
    <row r="22" spans="2:32" s="510" customFormat="1">
      <c r="B22" s="1044" t="s">
        <v>4</v>
      </c>
      <c r="C22" s="1045"/>
      <c r="D22" s="1045"/>
      <c r="E22" s="1045"/>
      <c r="F22" s="1045"/>
      <c r="G22" s="1045"/>
      <c r="H22" s="1045"/>
      <c r="I22" s="1045"/>
      <c r="J22" s="1045"/>
      <c r="K22" s="1045"/>
      <c r="L22" s="1046"/>
      <c r="M22" s="513"/>
      <c r="N22" s="514" t="s">
        <v>1037</v>
      </c>
      <c r="O22" s="1051"/>
      <c r="P22" s="1052"/>
      <c r="Q22" s="1052"/>
      <c r="R22" s="1052"/>
      <c r="S22" s="1052"/>
      <c r="T22" s="1052"/>
      <c r="U22" s="1052"/>
      <c r="V22" s="1052"/>
      <c r="W22" s="1052"/>
      <c r="X22" s="1052"/>
      <c r="Y22" s="1052"/>
      <c r="Z22" s="1052"/>
      <c r="AA22" s="1052"/>
      <c r="AB22" s="1052"/>
      <c r="AC22" s="1052"/>
      <c r="AD22" s="1052"/>
      <c r="AE22" s="1052"/>
      <c r="AF22" s="1053"/>
    </row>
    <row r="23" spans="2:32" s="510" customFormat="1">
      <c r="B23" s="1064"/>
      <c r="C23" s="1065"/>
      <c r="D23" s="1065"/>
      <c r="E23" s="1065"/>
      <c r="F23" s="1065"/>
      <c r="G23" s="1065"/>
      <c r="H23" s="1065"/>
      <c r="I23" s="1065"/>
      <c r="J23" s="1065"/>
      <c r="K23" s="1065"/>
      <c r="L23" s="1066"/>
      <c r="M23" s="513"/>
      <c r="N23" s="514" t="s">
        <v>1037</v>
      </c>
      <c r="O23" s="1051"/>
      <c r="P23" s="1052"/>
      <c r="Q23" s="1052"/>
      <c r="R23" s="1052"/>
      <c r="S23" s="1052"/>
      <c r="T23" s="1052"/>
      <c r="U23" s="1052"/>
      <c r="V23" s="1052"/>
      <c r="W23" s="1052"/>
      <c r="X23" s="1052"/>
      <c r="Y23" s="1052"/>
      <c r="Z23" s="1052"/>
      <c r="AA23" s="1052"/>
      <c r="AB23" s="1052"/>
      <c r="AC23" s="1052"/>
      <c r="AD23" s="1052"/>
      <c r="AE23" s="1052"/>
      <c r="AF23" s="1053"/>
    </row>
    <row r="24" spans="2:32" s="510" customFormat="1">
      <c r="B24" s="1047"/>
      <c r="C24" s="1048"/>
      <c r="D24" s="1048"/>
      <c r="E24" s="1048"/>
      <c r="F24" s="1048"/>
      <c r="G24" s="1048"/>
      <c r="H24" s="1048"/>
      <c r="I24" s="1048"/>
      <c r="J24" s="1048"/>
      <c r="K24" s="1048"/>
      <c r="L24" s="1049"/>
      <c r="M24" s="513"/>
      <c r="N24" s="514" t="s">
        <v>1037</v>
      </c>
      <c r="O24" s="1051"/>
      <c r="P24" s="1052"/>
      <c r="Q24" s="1052"/>
      <c r="R24" s="1052"/>
      <c r="S24" s="1052"/>
      <c r="T24" s="1052"/>
      <c r="U24" s="1052"/>
      <c r="V24" s="1052"/>
      <c r="W24" s="1052"/>
      <c r="X24" s="1052"/>
      <c r="Y24" s="1052"/>
      <c r="Z24" s="1052"/>
      <c r="AA24" s="1052"/>
      <c r="AB24" s="1052"/>
      <c r="AC24" s="1052"/>
      <c r="AD24" s="1052"/>
      <c r="AE24" s="1052"/>
      <c r="AF24" s="1053"/>
    </row>
    <row r="25" spans="2:32" s="510" customFormat="1">
      <c r="B25" s="1044" t="s">
        <v>6</v>
      </c>
      <c r="C25" s="1045"/>
      <c r="D25" s="1045"/>
      <c r="E25" s="1045"/>
      <c r="F25" s="1045"/>
      <c r="G25" s="1045"/>
      <c r="H25" s="1045"/>
      <c r="I25" s="1045"/>
      <c r="J25" s="1045"/>
      <c r="K25" s="1045"/>
      <c r="L25" s="1046"/>
      <c r="M25" s="513"/>
      <c r="N25" s="514" t="s">
        <v>1037</v>
      </c>
      <c r="O25" s="1051"/>
      <c r="P25" s="1052"/>
      <c r="Q25" s="1052"/>
      <c r="R25" s="1052"/>
      <c r="S25" s="1052"/>
      <c r="T25" s="1052"/>
      <c r="U25" s="1052"/>
      <c r="V25" s="1052"/>
      <c r="W25" s="1052"/>
      <c r="X25" s="1052"/>
      <c r="Y25" s="1052"/>
      <c r="Z25" s="1052"/>
      <c r="AA25" s="1052"/>
      <c r="AB25" s="1052"/>
      <c r="AC25" s="1052"/>
      <c r="AD25" s="1052"/>
      <c r="AE25" s="1052"/>
      <c r="AF25" s="1053"/>
    </row>
    <row r="26" spans="2:32" s="510" customFormat="1">
      <c r="B26" s="1064"/>
      <c r="C26" s="1065"/>
      <c r="D26" s="1065"/>
      <c r="E26" s="1065"/>
      <c r="F26" s="1065"/>
      <c r="G26" s="1065"/>
      <c r="H26" s="1065"/>
      <c r="I26" s="1065"/>
      <c r="J26" s="1065"/>
      <c r="K26" s="1065"/>
      <c r="L26" s="1066"/>
      <c r="M26" s="513"/>
      <c r="N26" s="514" t="s">
        <v>1037</v>
      </c>
      <c r="O26" s="1051"/>
      <c r="P26" s="1052"/>
      <c r="Q26" s="1052"/>
      <c r="R26" s="1052"/>
      <c r="S26" s="1052"/>
      <c r="T26" s="1052"/>
      <c r="U26" s="1052"/>
      <c r="V26" s="1052"/>
      <c r="W26" s="1052"/>
      <c r="X26" s="1052"/>
      <c r="Y26" s="1052"/>
      <c r="Z26" s="1052"/>
      <c r="AA26" s="1052"/>
      <c r="AB26" s="1052"/>
      <c r="AC26" s="1052"/>
      <c r="AD26" s="1052"/>
      <c r="AE26" s="1052"/>
      <c r="AF26" s="1053"/>
    </row>
    <row r="27" spans="2:32" s="510" customFormat="1">
      <c r="B27" s="1047"/>
      <c r="C27" s="1048"/>
      <c r="D27" s="1048"/>
      <c r="E27" s="1048"/>
      <c r="F27" s="1048"/>
      <c r="G27" s="1048"/>
      <c r="H27" s="1048"/>
      <c r="I27" s="1048"/>
      <c r="J27" s="1048"/>
      <c r="K27" s="1048"/>
      <c r="L27" s="1049"/>
      <c r="M27" s="513"/>
      <c r="N27" s="514" t="s">
        <v>1037</v>
      </c>
      <c r="O27" s="1051"/>
      <c r="P27" s="1052"/>
      <c r="Q27" s="1052"/>
      <c r="R27" s="1052"/>
      <c r="S27" s="1052"/>
      <c r="T27" s="1052"/>
      <c r="U27" s="1052"/>
      <c r="V27" s="1052"/>
      <c r="W27" s="1052"/>
      <c r="X27" s="1052"/>
      <c r="Y27" s="1052"/>
      <c r="Z27" s="1052"/>
      <c r="AA27" s="1052"/>
      <c r="AB27" s="1052"/>
      <c r="AC27" s="1052"/>
      <c r="AD27" s="1052"/>
      <c r="AE27" s="1052"/>
      <c r="AF27" s="1053"/>
    </row>
    <row r="28" spans="2:32" s="510" customFormat="1">
      <c r="B28" s="1044" t="s">
        <v>1039</v>
      </c>
      <c r="C28" s="1045"/>
      <c r="D28" s="1045"/>
      <c r="E28" s="1045"/>
      <c r="F28" s="1045"/>
      <c r="G28" s="1045"/>
      <c r="H28" s="1045"/>
      <c r="I28" s="1045"/>
      <c r="J28" s="1045"/>
      <c r="K28" s="1045"/>
      <c r="L28" s="1046"/>
      <c r="M28" s="513"/>
      <c r="N28" s="514" t="s">
        <v>1037</v>
      </c>
      <c r="O28" s="1051"/>
      <c r="P28" s="1052"/>
      <c r="Q28" s="1052"/>
      <c r="R28" s="1052"/>
      <c r="S28" s="1052"/>
      <c r="T28" s="1052"/>
      <c r="U28" s="1052"/>
      <c r="V28" s="1052"/>
      <c r="W28" s="1052"/>
      <c r="X28" s="1052"/>
      <c r="Y28" s="1052"/>
      <c r="Z28" s="1052"/>
      <c r="AA28" s="1052"/>
      <c r="AB28" s="1052"/>
      <c r="AC28" s="1052"/>
      <c r="AD28" s="1052"/>
      <c r="AE28" s="1052"/>
      <c r="AF28" s="1053"/>
    </row>
    <row r="29" spans="2:32" s="510" customFormat="1">
      <c r="B29" s="1064"/>
      <c r="C29" s="1065"/>
      <c r="D29" s="1065"/>
      <c r="E29" s="1065"/>
      <c r="F29" s="1065"/>
      <c r="G29" s="1065"/>
      <c r="H29" s="1065"/>
      <c r="I29" s="1065"/>
      <c r="J29" s="1065"/>
      <c r="K29" s="1065"/>
      <c r="L29" s="1066"/>
      <c r="M29" s="513"/>
      <c r="N29" s="514" t="s">
        <v>1037</v>
      </c>
      <c r="O29" s="1051"/>
      <c r="P29" s="1052"/>
      <c r="Q29" s="1052"/>
      <c r="R29" s="1052"/>
      <c r="S29" s="1052"/>
      <c r="T29" s="1052"/>
      <c r="U29" s="1052"/>
      <c r="V29" s="1052"/>
      <c r="W29" s="1052"/>
      <c r="X29" s="1052"/>
      <c r="Y29" s="1052"/>
      <c r="Z29" s="1052"/>
      <c r="AA29" s="1052"/>
      <c r="AB29" s="1052"/>
      <c r="AC29" s="1052"/>
      <c r="AD29" s="1052"/>
      <c r="AE29" s="1052"/>
      <c r="AF29" s="1053"/>
    </row>
    <row r="30" spans="2:32" s="510" customFormat="1">
      <c r="B30" s="1047"/>
      <c r="C30" s="1048"/>
      <c r="D30" s="1048"/>
      <c r="E30" s="1048"/>
      <c r="F30" s="1048"/>
      <c r="G30" s="1048"/>
      <c r="H30" s="1048"/>
      <c r="I30" s="1048"/>
      <c r="J30" s="1048"/>
      <c r="K30" s="1048"/>
      <c r="L30" s="1049"/>
      <c r="M30" s="513"/>
      <c r="N30" s="514" t="s">
        <v>1037</v>
      </c>
      <c r="O30" s="1051"/>
      <c r="P30" s="1052"/>
      <c r="Q30" s="1052"/>
      <c r="R30" s="1052"/>
      <c r="S30" s="1052"/>
      <c r="T30" s="1052"/>
      <c r="U30" s="1052"/>
      <c r="V30" s="1052"/>
      <c r="W30" s="1052"/>
      <c r="X30" s="1052"/>
      <c r="Y30" s="1052"/>
      <c r="Z30" s="1052"/>
      <c r="AA30" s="1052"/>
      <c r="AB30" s="1052"/>
      <c r="AC30" s="1052"/>
      <c r="AD30" s="1052"/>
      <c r="AE30" s="1052"/>
      <c r="AF30" s="1053"/>
    </row>
    <row r="31" spans="2:32" s="510" customFormat="1">
      <c r="B31" s="1044" t="s">
        <v>1040</v>
      </c>
      <c r="C31" s="1045"/>
      <c r="D31" s="1045"/>
      <c r="E31" s="1045"/>
      <c r="F31" s="1045"/>
      <c r="G31" s="1045"/>
      <c r="H31" s="1045"/>
      <c r="I31" s="1045"/>
      <c r="J31" s="1045"/>
      <c r="K31" s="1045"/>
      <c r="L31" s="1046"/>
      <c r="M31" s="518"/>
      <c r="N31" s="515" t="s">
        <v>1037</v>
      </c>
      <c r="O31" s="1051"/>
      <c r="P31" s="1052"/>
      <c r="Q31" s="1052"/>
      <c r="R31" s="1052"/>
      <c r="S31" s="1052"/>
      <c r="T31" s="1052"/>
      <c r="U31" s="1052"/>
      <c r="V31" s="1052"/>
      <c r="W31" s="1052"/>
      <c r="X31" s="1052"/>
      <c r="Y31" s="1052"/>
      <c r="Z31" s="1052"/>
      <c r="AA31" s="1052"/>
      <c r="AB31" s="1052"/>
      <c r="AC31" s="1052"/>
      <c r="AD31" s="1052"/>
      <c r="AE31" s="1052"/>
      <c r="AF31" s="1053"/>
    </row>
    <row r="32" spans="2:32" s="510" customFormat="1">
      <c r="B32" s="1064"/>
      <c r="C32" s="1065"/>
      <c r="D32" s="1065"/>
      <c r="E32" s="1065"/>
      <c r="F32" s="1065"/>
      <c r="G32" s="1065"/>
      <c r="H32" s="1065"/>
      <c r="I32" s="1065"/>
      <c r="J32" s="1065"/>
      <c r="K32" s="1065"/>
      <c r="L32" s="1066"/>
      <c r="M32" s="518"/>
      <c r="N32" s="515" t="s">
        <v>1037</v>
      </c>
      <c r="O32" s="1051"/>
      <c r="P32" s="1052"/>
      <c r="Q32" s="1052"/>
      <c r="R32" s="1052"/>
      <c r="S32" s="1052"/>
      <c r="T32" s="1052"/>
      <c r="U32" s="1052"/>
      <c r="V32" s="1052"/>
      <c r="W32" s="1052"/>
      <c r="X32" s="1052"/>
      <c r="Y32" s="1052"/>
      <c r="Z32" s="1052"/>
      <c r="AA32" s="1052"/>
      <c r="AB32" s="1052"/>
      <c r="AC32" s="1052"/>
      <c r="AD32" s="1052"/>
      <c r="AE32" s="1052"/>
      <c r="AF32" s="1053"/>
    </row>
    <row r="33" spans="1:32" s="510" customFormat="1" ht="16.8" thickBot="1">
      <c r="B33" s="1067"/>
      <c r="C33" s="1068"/>
      <c r="D33" s="1068"/>
      <c r="E33" s="1068"/>
      <c r="F33" s="1068"/>
      <c r="G33" s="1068"/>
      <c r="H33" s="1068"/>
      <c r="I33" s="1068"/>
      <c r="J33" s="1068"/>
      <c r="K33" s="1068"/>
      <c r="L33" s="1069"/>
      <c r="M33" s="519"/>
      <c r="N33" s="520" t="s">
        <v>1037</v>
      </c>
      <c r="O33" s="1070"/>
      <c r="P33" s="1071"/>
      <c r="Q33" s="1071"/>
      <c r="R33" s="1071"/>
      <c r="S33" s="1071"/>
      <c r="T33" s="1071"/>
      <c r="U33" s="1071"/>
      <c r="V33" s="1071"/>
      <c r="W33" s="1071"/>
      <c r="X33" s="1071"/>
      <c r="Y33" s="1071"/>
      <c r="Z33" s="1071"/>
      <c r="AA33" s="1071"/>
      <c r="AB33" s="1071"/>
      <c r="AC33" s="1071"/>
      <c r="AD33" s="1071"/>
      <c r="AE33" s="1071"/>
      <c r="AF33" s="1072"/>
    </row>
    <row r="34" spans="1:32" s="510" customFormat="1" ht="16.8" thickTop="1">
      <c r="B34" s="1044" t="s">
        <v>77</v>
      </c>
      <c r="C34" s="1045"/>
      <c r="D34" s="1045"/>
      <c r="E34" s="1045"/>
      <c r="F34" s="1045"/>
      <c r="G34" s="1045"/>
      <c r="H34" s="1045"/>
      <c r="I34" s="1045"/>
      <c r="J34" s="1045"/>
      <c r="K34" s="1045"/>
      <c r="L34" s="1046"/>
      <c r="M34" s="521"/>
      <c r="N34" s="522" t="s">
        <v>1037</v>
      </c>
      <c r="O34" s="1073"/>
      <c r="P34" s="1074"/>
      <c r="Q34" s="1074"/>
      <c r="R34" s="1074"/>
      <c r="S34" s="1074"/>
      <c r="T34" s="1074"/>
      <c r="U34" s="1074"/>
      <c r="V34" s="1074"/>
      <c r="W34" s="1074"/>
      <c r="X34" s="1074"/>
      <c r="Y34" s="1074"/>
      <c r="Z34" s="1074"/>
      <c r="AA34" s="1074"/>
      <c r="AB34" s="1074"/>
      <c r="AC34" s="1074"/>
      <c r="AD34" s="1074"/>
      <c r="AE34" s="1074"/>
      <c r="AF34" s="1075"/>
    </row>
    <row r="35" spans="1:32" s="510" customFormat="1">
      <c r="B35" s="1064"/>
      <c r="C35" s="1065"/>
      <c r="D35" s="1065"/>
      <c r="E35" s="1065"/>
      <c r="F35" s="1065"/>
      <c r="G35" s="1065"/>
      <c r="H35" s="1065"/>
      <c r="I35" s="1065"/>
      <c r="J35" s="1065"/>
      <c r="K35" s="1065"/>
      <c r="L35" s="1066"/>
      <c r="M35" s="513"/>
      <c r="N35" s="515" t="s">
        <v>1037</v>
      </c>
      <c r="O35" s="1051"/>
      <c r="P35" s="1052"/>
      <c r="Q35" s="1052"/>
      <c r="R35" s="1052"/>
      <c r="S35" s="1052"/>
      <c r="T35" s="1052"/>
      <c r="U35" s="1052"/>
      <c r="V35" s="1052"/>
      <c r="W35" s="1052"/>
      <c r="X35" s="1052"/>
      <c r="Y35" s="1052"/>
      <c r="Z35" s="1052"/>
      <c r="AA35" s="1052"/>
      <c r="AB35" s="1052"/>
      <c r="AC35" s="1052"/>
      <c r="AD35" s="1052"/>
      <c r="AE35" s="1052"/>
      <c r="AF35" s="1053"/>
    </row>
    <row r="36" spans="1:32" s="510" customFormat="1">
      <c r="B36" s="1047"/>
      <c r="C36" s="1048"/>
      <c r="D36" s="1048"/>
      <c r="E36" s="1048"/>
      <c r="F36" s="1048"/>
      <c r="G36" s="1048"/>
      <c r="H36" s="1048"/>
      <c r="I36" s="1048"/>
      <c r="J36" s="1048"/>
      <c r="K36" s="1048"/>
      <c r="L36" s="1049"/>
      <c r="M36" s="516"/>
      <c r="N36" s="517" t="s">
        <v>1037</v>
      </c>
      <c r="O36" s="1051"/>
      <c r="P36" s="1052"/>
      <c r="Q36" s="1052"/>
      <c r="R36" s="1052"/>
      <c r="S36" s="1052"/>
      <c r="T36" s="1052"/>
      <c r="U36" s="1052"/>
      <c r="V36" s="1052"/>
      <c r="W36" s="1052"/>
      <c r="X36" s="1052"/>
      <c r="Y36" s="1052"/>
      <c r="Z36" s="1052"/>
      <c r="AA36" s="1052"/>
      <c r="AB36" s="1052"/>
      <c r="AC36" s="1052"/>
      <c r="AD36" s="1052"/>
      <c r="AE36" s="1052"/>
      <c r="AF36" s="1053"/>
    </row>
    <row r="37" spans="1:32" s="510" customFormat="1">
      <c r="B37" s="1044" t="s">
        <v>79</v>
      </c>
      <c r="C37" s="1045"/>
      <c r="D37" s="1045"/>
      <c r="E37" s="1045"/>
      <c r="F37" s="1045"/>
      <c r="G37" s="1045"/>
      <c r="H37" s="1045"/>
      <c r="I37" s="1045"/>
      <c r="J37" s="1045"/>
      <c r="K37" s="1045"/>
      <c r="L37" s="1046"/>
      <c r="M37" s="513"/>
      <c r="N37" s="514" t="s">
        <v>1037</v>
      </c>
      <c r="O37" s="1051"/>
      <c r="P37" s="1052"/>
      <c r="Q37" s="1052"/>
      <c r="R37" s="1052"/>
      <c r="S37" s="1052"/>
      <c r="T37" s="1052"/>
      <c r="U37" s="1052"/>
      <c r="V37" s="1052"/>
      <c r="W37" s="1052"/>
      <c r="X37" s="1052"/>
      <c r="Y37" s="1052"/>
      <c r="Z37" s="1052"/>
      <c r="AA37" s="1052"/>
      <c r="AB37" s="1052"/>
      <c r="AC37" s="1052"/>
      <c r="AD37" s="1052"/>
      <c r="AE37" s="1052"/>
      <c r="AF37" s="1053"/>
    </row>
    <row r="38" spans="1:32" s="510" customFormat="1">
      <c r="B38" s="1047"/>
      <c r="C38" s="1048"/>
      <c r="D38" s="1048"/>
      <c r="E38" s="1048"/>
      <c r="F38" s="1048"/>
      <c r="G38" s="1048"/>
      <c r="H38" s="1048"/>
      <c r="I38" s="1048"/>
      <c r="J38" s="1048"/>
      <c r="K38" s="1048"/>
      <c r="L38" s="1049"/>
      <c r="M38" s="513"/>
      <c r="N38" s="514" t="s">
        <v>1037</v>
      </c>
      <c r="O38" s="1051"/>
      <c r="P38" s="1052"/>
      <c r="Q38" s="1052"/>
      <c r="R38" s="1052"/>
      <c r="S38" s="1052"/>
      <c r="T38" s="1052"/>
      <c r="U38" s="1052"/>
      <c r="V38" s="1052"/>
      <c r="W38" s="1052"/>
      <c r="X38" s="1052"/>
      <c r="Y38" s="1052"/>
      <c r="Z38" s="1052"/>
      <c r="AA38" s="1052"/>
      <c r="AB38" s="1052"/>
      <c r="AC38" s="1052"/>
      <c r="AD38" s="1052"/>
      <c r="AE38" s="1052"/>
      <c r="AF38" s="1053"/>
    </row>
    <row r="39" spans="1:32" s="510" customFormat="1">
      <c r="A39" s="523"/>
      <c r="B39" s="1047"/>
      <c r="C39" s="1050"/>
      <c r="D39" s="1048"/>
      <c r="E39" s="1048"/>
      <c r="F39" s="1048"/>
      <c r="G39" s="1048"/>
      <c r="H39" s="1048"/>
      <c r="I39" s="1048"/>
      <c r="J39" s="1048"/>
      <c r="K39" s="1048"/>
      <c r="L39" s="1049"/>
      <c r="M39" s="521"/>
      <c r="N39" s="524" t="s">
        <v>1037</v>
      </c>
      <c r="O39" s="1054"/>
      <c r="P39" s="1055"/>
      <c r="Q39" s="1055"/>
      <c r="R39" s="1055"/>
      <c r="S39" s="1055"/>
      <c r="T39" s="1055"/>
      <c r="U39" s="1055"/>
      <c r="V39" s="1055"/>
      <c r="W39" s="1055"/>
      <c r="X39" s="1055"/>
      <c r="Y39" s="1055"/>
      <c r="Z39" s="1055"/>
      <c r="AA39" s="1055"/>
      <c r="AB39" s="1055"/>
      <c r="AC39" s="1055"/>
      <c r="AD39" s="1055"/>
      <c r="AE39" s="1055"/>
      <c r="AF39" s="1056"/>
    </row>
    <row r="40" spans="1:32" s="510" customFormat="1">
      <c r="B40" s="1057" t="s">
        <v>1041</v>
      </c>
      <c r="C40" s="1045"/>
      <c r="D40" s="1045"/>
      <c r="E40" s="1045"/>
      <c r="F40" s="1045"/>
      <c r="G40" s="1045"/>
      <c r="H40" s="1045"/>
      <c r="I40" s="1045"/>
      <c r="J40" s="1045"/>
      <c r="K40" s="1045"/>
      <c r="L40" s="1046"/>
      <c r="M40" s="513"/>
      <c r="N40" s="514" t="s">
        <v>1037</v>
      </c>
      <c r="O40" s="1051"/>
      <c r="P40" s="1052"/>
      <c r="Q40" s="1052"/>
      <c r="R40" s="1052"/>
      <c r="S40" s="1052"/>
      <c r="T40" s="1052"/>
      <c r="U40" s="1052"/>
      <c r="V40" s="1052"/>
      <c r="W40" s="1052"/>
      <c r="X40" s="1052"/>
      <c r="Y40" s="1052"/>
      <c r="Z40" s="1052"/>
      <c r="AA40" s="1052"/>
      <c r="AB40" s="1052"/>
      <c r="AC40" s="1052"/>
      <c r="AD40" s="1052"/>
      <c r="AE40" s="1052"/>
      <c r="AF40" s="1053"/>
    </row>
    <row r="41" spans="1:32" s="510" customFormat="1">
      <c r="B41" s="1058"/>
      <c r="C41" s="1059"/>
      <c r="D41" s="1059"/>
      <c r="E41" s="1059"/>
      <c r="F41" s="1059"/>
      <c r="G41" s="1059"/>
      <c r="H41" s="1059"/>
      <c r="I41" s="1059"/>
      <c r="J41" s="1059"/>
      <c r="K41" s="1059"/>
      <c r="L41" s="1060"/>
      <c r="M41" s="513"/>
      <c r="N41" s="514" t="s">
        <v>1037</v>
      </c>
      <c r="O41" s="1051"/>
      <c r="P41" s="1052"/>
      <c r="Q41" s="1052"/>
      <c r="R41" s="1052"/>
      <c r="S41" s="1052"/>
      <c r="T41" s="1052"/>
      <c r="U41" s="1052"/>
      <c r="V41" s="1052"/>
      <c r="W41" s="1052"/>
      <c r="X41" s="1052"/>
      <c r="Y41" s="1052"/>
      <c r="Z41" s="1052"/>
      <c r="AA41" s="1052"/>
      <c r="AB41" s="1052"/>
      <c r="AC41" s="1052"/>
      <c r="AD41" s="1052"/>
      <c r="AE41" s="1052"/>
      <c r="AF41" s="1053"/>
    </row>
    <row r="42" spans="1:32" s="510" customFormat="1">
      <c r="B42" s="1061"/>
      <c r="C42" s="1062"/>
      <c r="D42" s="1062"/>
      <c r="E42" s="1062"/>
      <c r="F42" s="1062"/>
      <c r="G42" s="1062"/>
      <c r="H42" s="1062"/>
      <c r="I42" s="1062"/>
      <c r="J42" s="1062"/>
      <c r="K42" s="1062"/>
      <c r="L42" s="1063"/>
      <c r="M42" s="513"/>
      <c r="N42" s="514" t="s">
        <v>1037</v>
      </c>
      <c r="O42" s="1051"/>
      <c r="P42" s="1052"/>
      <c r="Q42" s="1052"/>
      <c r="R42" s="1052"/>
      <c r="S42" s="1052"/>
      <c r="T42" s="1052"/>
      <c r="U42" s="1052"/>
      <c r="V42" s="1052"/>
      <c r="W42" s="1052"/>
      <c r="X42" s="1052"/>
      <c r="Y42" s="1052"/>
      <c r="Z42" s="1052"/>
      <c r="AA42" s="1052"/>
      <c r="AB42" s="1052"/>
      <c r="AC42" s="1052"/>
      <c r="AD42" s="1052"/>
      <c r="AE42" s="1052"/>
      <c r="AF42" s="1053"/>
    </row>
    <row r="44" spans="1:32">
      <c r="B44" s="503" t="s">
        <v>1042</v>
      </c>
    </row>
    <row r="45" spans="1:32">
      <c r="B45" s="503" t="s">
        <v>1043</v>
      </c>
    </row>
    <row r="47" spans="1:32">
      <c r="A47" s="503" t="s">
        <v>1044</v>
      </c>
      <c r="M47" s="525"/>
      <c r="N47" s="503" t="s">
        <v>34</v>
      </c>
      <c r="O47" s="1043"/>
      <c r="P47" s="1043"/>
      <c r="Q47" s="503" t="s">
        <v>654</v>
      </c>
      <c r="R47" s="1043"/>
      <c r="S47" s="1043"/>
      <c r="T47" s="503" t="s">
        <v>376</v>
      </c>
    </row>
    <row r="122" spans="3:7">
      <c r="C122" s="526"/>
      <c r="D122" s="526"/>
      <c r="E122" s="526"/>
      <c r="F122" s="526"/>
      <c r="G122" s="526"/>
    </row>
    <row r="123" spans="3:7">
      <c r="C123" s="527"/>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3"/>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15206-36BC-47F7-997C-CFC8AD9AB733}">
  <sheetPr>
    <tabColor rgb="FFFFFF00"/>
    <pageSetUpPr fitToPage="1"/>
  </sheetPr>
  <dimension ref="A2:AK940"/>
  <sheetViews>
    <sheetView view="pageBreakPreview" zoomScale="70" zoomScaleNormal="100" zoomScaleSheetLayoutView="70" workbookViewId="0">
      <selection activeCell="AK6" sqref="AK6"/>
    </sheetView>
  </sheetViews>
  <sheetFormatPr defaultColWidth="4" defaultRowHeight="14.4"/>
  <cols>
    <col min="1" max="1" width="1.21875" style="558" customWidth="1"/>
    <col min="2" max="34" width="3.44140625" style="558" customWidth="1"/>
    <col min="35" max="256" width="4" style="558"/>
    <col min="257" max="257" width="1.21875" style="558" customWidth="1"/>
    <col min="258" max="290" width="3.44140625" style="558" customWidth="1"/>
    <col min="291" max="512" width="4" style="558"/>
    <col min="513" max="513" width="1.21875" style="558" customWidth="1"/>
    <col min="514" max="546" width="3.44140625" style="558" customWidth="1"/>
    <col min="547" max="768" width="4" style="558"/>
    <col min="769" max="769" width="1.21875" style="558" customWidth="1"/>
    <col min="770" max="802" width="3.44140625" style="558" customWidth="1"/>
    <col min="803" max="1024" width="4" style="558"/>
    <col min="1025" max="1025" width="1.21875" style="558" customWidth="1"/>
    <col min="1026" max="1058" width="3.44140625" style="558" customWidth="1"/>
    <col min="1059" max="1280" width="4" style="558"/>
    <col min="1281" max="1281" width="1.21875" style="558" customWidth="1"/>
    <col min="1282" max="1314" width="3.44140625" style="558" customWidth="1"/>
    <col min="1315" max="1536" width="4" style="558"/>
    <col min="1537" max="1537" width="1.21875" style="558" customWidth="1"/>
    <col min="1538" max="1570" width="3.44140625" style="558" customWidth="1"/>
    <col min="1571" max="1792" width="4" style="558"/>
    <col min="1793" max="1793" width="1.21875" style="558" customWidth="1"/>
    <col min="1794" max="1826" width="3.44140625" style="558" customWidth="1"/>
    <col min="1827" max="2048" width="4" style="558"/>
    <col min="2049" max="2049" width="1.21875" style="558" customWidth="1"/>
    <col min="2050" max="2082" width="3.44140625" style="558" customWidth="1"/>
    <col min="2083" max="2304" width="4" style="558"/>
    <col min="2305" max="2305" width="1.21875" style="558" customWidth="1"/>
    <col min="2306" max="2338" width="3.44140625" style="558" customWidth="1"/>
    <col min="2339" max="2560" width="4" style="558"/>
    <col min="2561" max="2561" width="1.21875" style="558" customWidth="1"/>
    <col min="2562" max="2594" width="3.44140625" style="558" customWidth="1"/>
    <col min="2595" max="2816" width="4" style="558"/>
    <col min="2817" max="2817" width="1.21875" style="558" customWidth="1"/>
    <col min="2818" max="2850" width="3.44140625" style="558" customWidth="1"/>
    <col min="2851" max="3072" width="4" style="558"/>
    <col min="3073" max="3073" width="1.21875" style="558" customWidth="1"/>
    <col min="3074" max="3106" width="3.44140625" style="558" customWidth="1"/>
    <col min="3107" max="3328" width="4" style="558"/>
    <col min="3329" max="3329" width="1.21875" style="558" customWidth="1"/>
    <col min="3330" max="3362" width="3.44140625" style="558" customWidth="1"/>
    <col min="3363" max="3584" width="4" style="558"/>
    <col min="3585" max="3585" width="1.21875" style="558" customWidth="1"/>
    <col min="3586" max="3618" width="3.44140625" style="558" customWidth="1"/>
    <col min="3619" max="3840" width="4" style="558"/>
    <col min="3841" max="3841" width="1.21875" style="558" customWidth="1"/>
    <col min="3842" max="3874" width="3.44140625" style="558" customWidth="1"/>
    <col min="3875" max="4096" width="4" style="558"/>
    <col min="4097" max="4097" width="1.21875" style="558" customWidth="1"/>
    <col min="4098" max="4130" width="3.44140625" style="558" customWidth="1"/>
    <col min="4131" max="4352" width="4" style="558"/>
    <col min="4353" max="4353" width="1.21875" style="558" customWidth="1"/>
    <col min="4354" max="4386" width="3.44140625" style="558" customWidth="1"/>
    <col min="4387" max="4608" width="4" style="558"/>
    <col min="4609" max="4609" width="1.21875" style="558" customWidth="1"/>
    <col min="4610" max="4642" width="3.44140625" style="558" customWidth="1"/>
    <col min="4643" max="4864" width="4" style="558"/>
    <col min="4865" max="4865" width="1.21875" style="558" customWidth="1"/>
    <col min="4866" max="4898" width="3.44140625" style="558" customWidth="1"/>
    <col min="4899" max="5120" width="4" style="558"/>
    <col min="5121" max="5121" width="1.21875" style="558" customWidth="1"/>
    <col min="5122" max="5154" width="3.44140625" style="558" customWidth="1"/>
    <col min="5155" max="5376" width="4" style="558"/>
    <col min="5377" max="5377" width="1.21875" style="558" customWidth="1"/>
    <col min="5378" max="5410" width="3.44140625" style="558" customWidth="1"/>
    <col min="5411" max="5632" width="4" style="558"/>
    <col min="5633" max="5633" width="1.21875" style="558" customWidth="1"/>
    <col min="5634" max="5666" width="3.44140625" style="558" customWidth="1"/>
    <col min="5667" max="5888" width="4" style="558"/>
    <col min="5889" max="5889" width="1.21875" style="558" customWidth="1"/>
    <col min="5890" max="5922" width="3.44140625" style="558" customWidth="1"/>
    <col min="5923" max="6144" width="4" style="558"/>
    <col min="6145" max="6145" width="1.21875" style="558" customWidth="1"/>
    <col min="6146" max="6178" width="3.44140625" style="558" customWidth="1"/>
    <col min="6179" max="6400" width="4" style="558"/>
    <col min="6401" max="6401" width="1.21875" style="558" customWidth="1"/>
    <col min="6402" max="6434" width="3.44140625" style="558" customWidth="1"/>
    <col min="6435" max="6656" width="4" style="558"/>
    <col min="6657" max="6657" width="1.21875" style="558" customWidth="1"/>
    <col min="6658" max="6690" width="3.44140625" style="558" customWidth="1"/>
    <col min="6691" max="6912" width="4" style="558"/>
    <col min="6913" max="6913" width="1.21875" style="558" customWidth="1"/>
    <col min="6914" max="6946" width="3.44140625" style="558" customWidth="1"/>
    <col min="6947" max="7168" width="4" style="558"/>
    <col min="7169" max="7169" width="1.21875" style="558" customWidth="1"/>
    <col min="7170" max="7202" width="3.44140625" style="558" customWidth="1"/>
    <col min="7203" max="7424" width="4" style="558"/>
    <col min="7425" max="7425" width="1.21875" style="558" customWidth="1"/>
    <col min="7426" max="7458" width="3.44140625" style="558" customWidth="1"/>
    <col min="7459" max="7680" width="4" style="558"/>
    <col min="7681" max="7681" width="1.21875" style="558" customWidth="1"/>
    <col min="7682" max="7714" width="3.44140625" style="558" customWidth="1"/>
    <col min="7715" max="7936" width="4" style="558"/>
    <col min="7937" max="7937" width="1.21875" style="558" customWidth="1"/>
    <col min="7938" max="7970" width="3.44140625" style="558" customWidth="1"/>
    <col min="7971" max="8192" width="4" style="558"/>
    <col min="8193" max="8193" width="1.21875" style="558" customWidth="1"/>
    <col min="8194" max="8226" width="3.44140625" style="558" customWidth="1"/>
    <col min="8227" max="8448" width="4" style="558"/>
    <col min="8449" max="8449" width="1.21875" style="558" customWidth="1"/>
    <col min="8450" max="8482" width="3.44140625" style="558" customWidth="1"/>
    <col min="8483" max="8704" width="4" style="558"/>
    <col min="8705" max="8705" width="1.21875" style="558" customWidth="1"/>
    <col min="8706" max="8738" width="3.44140625" style="558" customWidth="1"/>
    <col min="8739" max="8960" width="4" style="558"/>
    <col min="8961" max="8961" width="1.21875" style="558" customWidth="1"/>
    <col min="8962" max="8994" width="3.44140625" style="558" customWidth="1"/>
    <col min="8995" max="9216" width="4" style="558"/>
    <col min="9217" max="9217" width="1.21875" style="558" customWidth="1"/>
    <col min="9218" max="9250" width="3.44140625" style="558" customWidth="1"/>
    <col min="9251" max="9472" width="4" style="558"/>
    <col min="9473" max="9473" width="1.21875" style="558" customWidth="1"/>
    <col min="9474" max="9506" width="3.44140625" style="558" customWidth="1"/>
    <col min="9507" max="9728" width="4" style="558"/>
    <col min="9729" max="9729" width="1.21875" style="558" customWidth="1"/>
    <col min="9730" max="9762" width="3.44140625" style="558" customWidth="1"/>
    <col min="9763" max="9984" width="4" style="558"/>
    <col min="9985" max="9985" width="1.21875" style="558" customWidth="1"/>
    <col min="9986" max="10018" width="3.44140625" style="558" customWidth="1"/>
    <col min="10019" max="10240" width="4" style="558"/>
    <col min="10241" max="10241" width="1.21875" style="558" customWidth="1"/>
    <col min="10242" max="10274" width="3.44140625" style="558" customWidth="1"/>
    <col min="10275" max="10496" width="4" style="558"/>
    <col min="10497" max="10497" width="1.21875" style="558" customWidth="1"/>
    <col min="10498" max="10530" width="3.44140625" style="558" customWidth="1"/>
    <col min="10531" max="10752" width="4" style="558"/>
    <col min="10753" max="10753" width="1.21875" style="558" customWidth="1"/>
    <col min="10754" max="10786" width="3.44140625" style="558" customWidth="1"/>
    <col min="10787" max="11008" width="4" style="558"/>
    <col min="11009" max="11009" width="1.21875" style="558" customWidth="1"/>
    <col min="11010" max="11042" width="3.44140625" style="558" customWidth="1"/>
    <col min="11043" max="11264" width="4" style="558"/>
    <col min="11265" max="11265" width="1.21875" style="558" customWidth="1"/>
    <col min="11266" max="11298" width="3.44140625" style="558" customWidth="1"/>
    <col min="11299" max="11520" width="4" style="558"/>
    <col min="11521" max="11521" width="1.21875" style="558" customWidth="1"/>
    <col min="11522" max="11554" width="3.44140625" style="558" customWidth="1"/>
    <col min="11555" max="11776" width="4" style="558"/>
    <col min="11777" max="11777" width="1.21875" style="558" customWidth="1"/>
    <col min="11778" max="11810" width="3.44140625" style="558" customWidth="1"/>
    <col min="11811" max="12032" width="4" style="558"/>
    <col min="12033" max="12033" width="1.21875" style="558" customWidth="1"/>
    <col min="12034" max="12066" width="3.44140625" style="558" customWidth="1"/>
    <col min="12067" max="12288" width="4" style="558"/>
    <col min="12289" max="12289" width="1.21875" style="558" customWidth="1"/>
    <col min="12290" max="12322" width="3.44140625" style="558" customWidth="1"/>
    <col min="12323" max="12544" width="4" style="558"/>
    <col min="12545" max="12545" width="1.21875" style="558" customWidth="1"/>
    <col min="12546" max="12578" width="3.44140625" style="558" customWidth="1"/>
    <col min="12579" max="12800" width="4" style="558"/>
    <col min="12801" max="12801" width="1.21875" style="558" customWidth="1"/>
    <col min="12802" max="12834" width="3.44140625" style="558" customWidth="1"/>
    <col min="12835" max="13056" width="4" style="558"/>
    <col min="13057" max="13057" width="1.21875" style="558" customWidth="1"/>
    <col min="13058" max="13090" width="3.44140625" style="558" customWidth="1"/>
    <col min="13091" max="13312" width="4" style="558"/>
    <col min="13313" max="13313" width="1.21875" style="558" customWidth="1"/>
    <col min="13314" max="13346" width="3.44140625" style="558" customWidth="1"/>
    <col min="13347" max="13568" width="4" style="558"/>
    <col min="13569" max="13569" width="1.21875" style="558" customWidth="1"/>
    <col min="13570" max="13602" width="3.44140625" style="558" customWidth="1"/>
    <col min="13603" max="13824" width="4" style="558"/>
    <col min="13825" max="13825" width="1.21875" style="558" customWidth="1"/>
    <col min="13826" max="13858" width="3.44140625" style="558" customWidth="1"/>
    <col min="13859" max="14080" width="4" style="558"/>
    <col min="14081" max="14081" width="1.21875" style="558" customWidth="1"/>
    <col min="14082" max="14114" width="3.44140625" style="558" customWidth="1"/>
    <col min="14115" max="14336" width="4" style="558"/>
    <col min="14337" max="14337" width="1.21875" style="558" customWidth="1"/>
    <col min="14338" max="14370" width="3.44140625" style="558" customWidth="1"/>
    <col min="14371" max="14592" width="4" style="558"/>
    <col min="14593" max="14593" width="1.21875" style="558" customWidth="1"/>
    <col min="14594" max="14626" width="3.44140625" style="558" customWidth="1"/>
    <col min="14627" max="14848" width="4" style="558"/>
    <col min="14849" max="14849" width="1.21875" style="558" customWidth="1"/>
    <col min="14850" max="14882" width="3.44140625" style="558" customWidth="1"/>
    <col min="14883" max="15104" width="4" style="558"/>
    <col min="15105" max="15105" width="1.21875" style="558" customWidth="1"/>
    <col min="15106" max="15138" width="3.44140625" style="558" customWidth="1"/>
    <col min="15139" max="15360" width="4" style="558"/>
    <col min="15361" max="15361" width="1.21875" style="558" customWidth="1"/>
    <col min="15362" max="15394" width="3.44140625" style="558" customWidth="1"/>
    <col min="15395" max="15616" width="4" style="558"/>
    <col min="15617" max="15617" width="1.21875" style="558" customWidth="1"/>
    <col min="15618" max="15650" width="3.44140625" style="558" customWidth="1"/>
    <col min="15651" max="15872" width="4" style="558"/>
    <col min="15873" max="15873" width="1.21875" style="558" customWidth="1"/>
    <col min="15874" max="15906" width="3.44140625" style="558" customWidth="1"/>
    <col min="15907" max="16128" width="4" style="558"/>
    <col min="16129" max="16129" width="1.21875" style="558" customWidth="1"/>
    <col min="16130" max="16162" width="3.44140625" style="558" customWidth="1"/>
    <col min="16163" max="16384" width="4" style="558"/>
  </cols>
  <sheetData>
    <row r="2" spans="1:37">
      <c r="A2" s="558" t="s">
        <v>1174</v>
      </c>
    </row>
    <row r="3" spans="1:37" ht="6.75" customHeight="1"/>
    <row r="4" spans="1:37">
      <c r="B4" s="558" t="s">
        <v>1175</v>
      </c>
    </row>
    <row r="5" spans="1:37" ht="7.5" customHeight="1"/>
    <row r="6" spans="1:37" s="559" customFormat="1" ht="24" customHeight="1">
      <c r="F6" s="560" t="s">
        <v>1176</v>
      </c>
      <c r="G6" s="561"/>
      <c r="H6" s="561"/>
      <c r="I6" s="561"/>
      <c r="J6" s="561"/>
      <c r="K6" s="561"/>
      <c r="L6" s="562"/>
      <c r="M6" s="1084"/>
      <c r="N6" s="1085"/>
      <c r="O6" s="1085"/>
      <c r="P6" s="1085"/>
      <c r="Q6" s="1085"/>
      <c r="R6" s="1085"/>
      <c r="S6" s="1085"/>
      <c r="T6" s="1085"/>
      <c r="U6" s="1085"/>
      <c r="V6" s="1085"/>
      <c r="W6" s="1085"/>
      <c r="X6" s="1085"/>
      <c r="Y6" s="1086"/>
      <c r="AA6" s="559" t="s">
        <v>1177</v>
      </c>
    </row>
    <row r="7" spans="1:37" ht="21.75" customHeight="1"/>
    <row r="8" spans="1:37">
      <c r="B8" s="563"/>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5"/>
    </row>
    <row r="9" spans="1:37">
      <c r="B9" s="566"/>
      <c r="AK9" s="567"/>
    </row>
    <row r="10" spans="1:37">
      <c r="B10" s="566"/>
      <c r="AK10" s="567"/>
    </row>
    <row r="11" spans="1:37">
      <c r="B11" s="566"/>
      <c r="D11" s="563"/>
      <c r="E11" s="564"/>
      <c r="F11" s="564"/>
      <c r="G11" s="564"/>
      <c r="H11" s="564"/>
      <c r="I11" s="563"/>
      <c r="J11" s="564"/>
      <c r="K11" s="564"/>
      <c r="L11" s="565"/>
      <c r="M11" s="564"/>
      <c r="N11" s="564"/>
      <c r="O11" s="564"/>
      <c r="P11" s="565"/>
      <c r="Q11" s="563"/>
      <c r="R11" s="564"/>
      <c r="S11" s="564"/>
      <c r="T11" s="565"/>
      <c r="U11" s="563"/>
      <c r="V11" s="564"/>
      <c r="W11" s="564"/>
      <c r="X11" s="564"/>
      <c r="Y11" s="564"/>
      <c r="Z11" s="565"/>
      <c r="AA11" s="1087" t="s">
        <v>1178</v>
      </c>
      <c r="AB11" s="1088"/>
      <c r="AC11" s="1088"/>
      <c r="AD11" s="1088"/>
      <c r="AE11" s="1088"/>
      <c r="AF11" s="1088"/>
      <c r="AG11" s="1088"/>
      <c r="AH11" s="1088"/>
      <c r="AI11" s="1089"/>
      <c r="AK11" s="567"/>
    </row>
    <row r="12" spans="1:37">
      <c r="B12" s="566"/>
      <c r="D12" s="566"/>
      <c r="I12" s="566" t="s">
        <v>1179</v>
      </c>
      <c r="L12" s="567"/>
      <c r="M12" s="558" t="s">
        <v>1180</v>
      </c>
      <c r="P12" s="567"/>
      <c r="Q12" s="566" t="s">
        <v>1181</v>
      </c>
      <c r="T12" s="567"/>
      <c r="U12" s="566" t="s">
        <v>1182</v>
      </c>
      <c r="Y12" s="558" t="s">
        <v>1183</v>
      </c>
      <c r="AA12" s="1090"/>
      <c r="AB12" s="1091"/>
      <c r="AC12" s="1091"/>
      <c r="AD12" s="1091"/>
      <c r="AE12" s="1091"/>
      <c r="AF12" s="1091"/>
      <c r="AG12" s="1091"/>
      <c r="AH12" s="1091"/>
      <c r="AI12" s="1092"/>
      <c r="AK12" s="567"/>
    </row>
    <row r="13" spans="1:37" ht="6.75" customHeight="1">
      <c r="B13" s="566"/>
      <c r="D13" s="566"/>
      <c r="I13" s="566"/>
      <c r="L13" s="567"/>
      <c r="P13" s="567"/>
      <c r="Q13" s="566"/>
      <c r="T13" s="567"/>
      <c r="U13" s="566"/>
      <c r="Z13" s="567"/>
      <c r="AA13" s="568"/>
      <c r="AB13" s="569"/>
      <c r="AC13" s="569"/>
      <c r="AD13" s="569"/>
      <c r="AE13" s="1093" t="s">
        <v>1184</v>
      </c>
      <c r="AF13" s="1093"/>
      <c r="AG13" s="1093"/>
      <c r="AH13" s="1093"/>
      <c r="AI13" s="570"/>
      <c r="AK13" s="567"/>
    </row>
    <row r="14" spans="1:37">
      <c r="B14" s="566"/>
      <c r="D14" s="566"/>
      <c r="I14" s="566"/>
      <c r="K14" s="558" t="s">
        <v>1183</v>
      </c>
      <c r="L14" s="567"/>
      <c r="O14" s="558" t="s">
        <v>1183</v>
      </c>
      <c r="P14" s="567"/>
      <c r="Q14" s="566"/>
      <c r="S14" s="558" t="s">
        <v>1183</v>
      </c>
      <c r="T14" s="567"/>
      <c r="U14" s="566" t="s">
        <v>1185</v>
      </c>
      <c r="Z14" s="567"/>
      <c r="AA14" s="566"/>
      <c r="AE14" s="1094"/>
      <c r="AF14" s="1094"/>
      <c r="AG14" s="1094"/>
      <c r="AH14" s="1094"/>
      <c r="AI14" s="567"/>
      <c r="AK14" s="567"/>
    </row>
    <row r="15" spans="1:37">
      <c r="B15" s="566"/>
      <c r="D15" s="566"/>
      <c r="I15" s="571"/>
      <c r="J15" s="572"/>
      <c r="K15" s="572"/>
      <c r="L15" s="573"/>
      <c r="M15" s="572"/>
      <c r="N15" s="572"/>
      <c r="O15" s="572"/>
      <c r="P15" s="573"/>
      <c r="Q15" s="571"/>
      <c r="R15" s="572"/>
      <c r="S15" s="572"/>
      <c r="T15" s="573"/>
      <c r="U15" s="571"/>
      <c r="V15" s="572"/>
      <c r="W15" s="572"/>
      <c r="X15" s="572"/>
      <c r="Y15" s="572"/>
      <c r="Z15" s="573"/>
      <c r="AE15" s="1094"/>
      <c r="AF15" s="1094"/>
      <c r="AG15" s="1094"/>
      <c r="AH15" s="1094"/>
      <c r="AK15" s="567"/>
    </row>
    <row r="16" spans="1:37">
      <c r="B16" s="566"/>
      <c r="D16" s="566"/>
      <c r="L16" s="567"/>
      <c r="AE16" s="1094"/>
      <c r="AF16" s="1094"/>
      <c r="AG16" s="1094"/>
      <c r="AH16" s="1094"/>
      <c r="AK16" s="567"/>
    </row>
    <row r="17" spans="2:37">
      <c r="B17" s="566"/>
      <c r="D17" s="566"/>
      <c r="L17" s="567"/>
      <c r="AE17" s="1094"/>
      <c r="AF17" s="1094"/>
      <c r="AG17" s="1094"/>
      <c r="AH17" s="1094"/>
      <c r="AI17" s="567"/>
      <c r="AK17" s="567"/>
    </row>
    <row r="18" spans="2:37">
      <c r="B18" s="566"/>
      <c r="D18" s="566"/>
      <c r="L18" s="567"/>
      <c r="AE18" s="1095"/>
      <c r="AF18" s="1095"/>
      <c r="AG18" s="1095"/>
      <c r="AH18" s="1095"/>
      <c r="AI18" s="567"/>
      <c r="AK18" s="567"/>
    </row>
    <row r="19" spans="2:37">
      <c r="B19" s="566"/>
      <c r="D19" s="566"/>
      <c r="L19" s="567"/>
      <c r="M19" s="564"/>
      <c r="N19" s="564"/>
      <c r="O19" s="564"/>
      <c r="P19" s="564"/>
      <c r="Q19" s="564"/>
      <c r="R19" s="564"/>
      <c r="S19" s="564"/>
      <c r="T19" s="564"/>
      <c r="U19" s="564"/>
      <c r="V19" s="564"/>
      <c r="W19" s="565"/>
      <c r="X19" s="563"/>
      <c r="Y19" s="564"/>
      <c r="Z19" s="565"/>
      <c r="AD19" s="563"/>
      <c r="AE19" s="564"/>
      <c r="AF19" s="564"/>
      <c r="AG19" s="564"/>
      <c r="AH19" s="564"/>
      <c r="AI19" s="565"/>
      <c r="AK19" s="567"/>
    </row>
    <row r="20" spans="2:37">
      <c r="B20" s="566"/>
      <c r="D20" s="566"/>
      <c r="E20" s="558" t="s">
        <v>1186</v>
      </c>
      <c r="J20" s="574" t="s">
        <v>1183</v>
      </c>
      <c r="L20" s="567"/>
      <c r="W20" s="567"/>
      <c r="X20" s="566"/>
      <c r="Z20" s="567"/>
      <c r="AD20" s="566"/>
      <c r="AI20" s="567"/>
      <c r="AK20" s="567"/>
    </row>
    <row r="21" spans="2:37" ht="6.75" customHeight="1">
      <c r="B21" s="566"/>
      <c r="D21" s="566"/>
      <c r="J21" s="574"/>
      <c r="L21" s="567"/>
      <c r="W21" s="567"/>
      <c r="X21" s="566"/>
      <c r="Z21" s="567"/>
      <c r="AD21" s="566"/>
      <c r="AI21" s="567"/>
      <c r="AK21" s="567"/>
    </row>
    <row r="22" spans="2:37">
      <c r="B22" s="566"/>
      <c r="D22" s="566"/>
      <c r="E22" s="558" t="s">
        <v>1187</v>
      </c>
      <c r="L22" s="567"/>
      <c r="W22" s="567"/>
      <c r="X22" s="566" t="s">
        <v>1188</v>
      </c>
      <c r="Z22" s="567"/>
      <c r="AD22" s="566"/>
      <c r="AI22" s="567"/>
      <c r="AK22" s="567"/>
    </row>
    <row r="23" spans="2:37">
      <c r="B23" s="566"/>
      <c r="D23" s="566"/>
      <c r="L23" s="567"/>
      <c r="O23" s="558" t="s">
        <v>1189</v>
      </c>
      <c r="R23" s="574" t="s">
        <v>1183</v>
      </c>
      <c r="W23" s="567"/>
      <c r="X23" s="566"/>
      <c r="Z23" s="567" t="s">
        <v>1183</v>
      </c>
      <c r="AD23" s="566"/>
      <c r="AE23" s="558" t="s">
        <v>1190</v>
      </c>
      <c r="AH23" s="574" t="s">
        <v>1183</v>
      </c>
      <c r="AI23" s="567"/>
      <c r="AK23" s="567"/>
    </row>
    <row r="24" spans="2:37">
      <c r="B24" s="566"/>
      <c r="D24" s="566"/>
      <c r="L24" s="567"/>
      <c r="W24" s="567"/>
      <c r="X24" s="566"/>
      <c r="Z24" s="567"/>
      <c r="AD24" s="566"/>
      <c r="AI24" s="567"/>
      <c r="AK24" s="567"/>
    </row>
    <row r="25" spans="2:37" ht="6.75" customHeight="1">
      <c r="B25" s="566"/>
      <c r="D25" s="566"/>
      <c r="L25" s="567"/>
      <c r="W25" s="567"/>
      <c r="X25" s="566"/>
      <c r="Z25" s="567"/>
      <c r="AD25" s="566"/>
      <c r="AI25" s="567"/>
      <c r="AK25" s="567"/>
    </row>
    <row r="26" spans="2:37">
      <c r="B26" s="566"/>
      <c r="D26" s="566"/>
      <c r="L26" s="567"/>
      <c r="W26" s="567"/>
      <c r="X26" s="566"/>
      <c r="Z26" s="567"/>
      <c r="AD26" s="566"/>
      <c r="AI26" s="567"/>
      <c r="AK26" s="567"/>
    </row>
    <row r="27" spans="2:37">
      <c r="B27" s="566"/>
      <c r="D27" s="571"/>
      <c r="E27" s="572"/>
      <c r="F27" s="572"/>
      <c r="G27" s="572"/>
      <c r="H27" s="572"/>
      <c r="I27" s="572"/>
      <c r="J27" s="572"/>
      <c r="K27" s="572"/>
      <c r="L27" s="573"/>
      <c r="M27" s="572"/>
      <c r="N27" s="572"/>
      <c r="O27" s="572"/>
      <c r="P27" s="572"/>
      <c r="Q27" s="572"/>
      <c r="R27" s="572"/>
      <c r="S27" s="572"/>
      <c r="T27" s="572"/>
      <c r="U27" s="572"/>
      <c r="V27" s="572"/>
      <c r="W27" s="573"/>
      <c r="X27" s="571"/>
      <c r="Y27" s="572"/>
      <c r="Z27" s="573"/>
      <c r="AA27" s="572"/>
      <c r="AB27" s="572"/>
      <c r="AC27" s="572"/>
      <c r="AD27" s="571"/>
      <c r="AE27" s="572"/>
      <c r="AF27" s="572"/>
      <c r="AG27" s="572"/>
      <c r="AH27" s="572"/>
      <c r="AI27" s="573"/>
      <c r="AK27" s="567"/>
    </row>
    <row r="28" spans="2:37">
      <c r="B28" s="566"/>
      <c r="AK28" s="567"/>
    </row>
    <row r="29" spans="2:37">
      <c r="B29" s="566"/>
      <c r="AK29" s="567"/>
    </row>
    <row r="30" spans="2:37">
      <c r="B30" s="571"/>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3"/>
    </row>
    <row r="32" spans="2:37" s="576" customFormat="1">
      <c r="B32" s="575" t="s">
        <v>1191</v>
      </c>
    </row>
    <row r="33" spans="2:2" s="576" customFormat="1">
      <c r="B33" s="575" t="s">
        <v>1192</v>
      </c>
    </row>
    <row r="122" spans="1:1">
      <c r="A122" s="572"/>
    </row>
    <row r="158" spans="1:1">
      <c r="A158" s="571"/>
    </row>
    <row r="209" spans="1:1">
      <c r="A209" s="571"/>
    </row>
    <row r="258" spans="1:1">
      <c r="A258" s="571"/>
    </row>
    <row r="285" spans="1:1">
      <c r="A285" s="572"/>
    </row>
    <row r="335" spans="1:1">
      <c r="A335" s="571"/>
    </row>
    <row r="359" spans="1:1">
      <c r="A359" s="572"/>
    </row>
    <row r="387" spans="1:1">
      <c r="A387" s="572"/>
    </row>
    <row r="415" spans="1:1">
      <c r="A415" s="572"/>
    </row>
    <row r="439" spans="1:1">
      <c r="A439" s="572"/>
    </row>
    <row r="468" spans="1:1">
      <c r="A468" s="572"/>
    </row>
    <row r="497" spans="1:1">
      <c r="A497" s="572"/>
    </row>
    <row r="546" spans="1:1">
      <c r="A546" s="571"/>
    </row>
    <row r="577" spans="1:1">
      <c r="A577" s="571"/>
    </row>
    <row r="621" spans="1:1">
      <c r="A621" s="571"/>
    </row>
    <row r="657" spans="1:1">
      <c r="A657" s="572"/>
    </row>
    <row r="696" spans="1:1">
      <c r="A696" s="571"/>
    </row>
    <row r="725" spans="1:1">
      <c r="A725" s="571"/>
    </row>
    <row r="764" spans="1:1">
      <c r="A764" s="571"/>
    </row>
    <row r="803" spans="1:1">
      <c r="A803" s="571"/>
    </row>
    <row r="831" spans="1:1">
      <c r="A831" s="571"/>
    </row>
    <row r="871" spans="1:1">
      <c r="A871" s="571"/>
    </row>
    <row r="911" spans="1:1">
      <c r="A911" s="571"/>
    </row>
    <row r="940" spans="1:1">
      <c r="A940" s="571"/>
    </row>
  </sheetData>
  <mergeCells count="3">
    <mergeCell ref="M6:Y6"/>
    <mergeCell ref="AA11:AI12"/>
    <mergeCell ref="AE13:AH18"/>
  </mergeCells>
  <phoneticPr fontId="3"/>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3CDC0-2C68-4A25-BF5A-9E2D56DBC55D}">
  <sheetPr>
    <tabColor rgb="FFFFFF00"/>
    <pageSetUpPr fitToPage="1"/>
  </sheetPr>
  <dimension ref="B2:AK89"/>
  <sheetViews>
    <sheetView view="pageBreakPreview" zoomScaleNormal="100" zoomScaleSheetLayoutView="100" workbookViewId="0"/>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c r="B2" s="220" t="s">
        <v>461</v>
      </c>
    </row>
    <row r="3" spans="2:37">
      <c r="B3" s="221"/>
    </row>
    <row r="4" spans="2:37" ht="13.5" customHeight="1">
      <c r="B4" s="220" t="s">
        <v>462</v>
      </c>
      <c r="X4" s="222" t="s">
        <v>463</v>
      </c>
    </row>
    <row r="5" spans="2:37" ht="6.75" customHeight="1">
      <c r="B5" s="220"/>
      <c r="W5" s="222"/>
      <c r="AJ5" s="223"/>
      <c r="AK5" s="223"/>
    </row>
    <row r="6" spans="2:37" ht="13.5" customHeight="1">
      <c r="X6" s="220" t="s">
        <v>464</v>
      </c>
      <c r="AJ6" s="223"/>
      <c r="AK6" s="223"/>
    </row>
    <row r="7" spans="2:37" ht="6.75" customHeight="1">
      <c r="W7" s="220"/>
      <c r="AJ7" s="223"/>
      <c r="AK7" s="223"/>
    </row>
    <row r="8" spans="2:37" ht="14.25" customHeight="1">
      <c r="B8" s="220" t="s">
        <v>465</v>
      </c>
      <c r="AB8" s="220" t="s">
        <v>466</v>
      </c>
      <c r="AJ8" s="223"/>
      <c r="AK8" s="223"/>
    </row>
    <row r="9" spans="2:37" ht="14.25" customHeight="1">
      <c r="B9" s="221"/>
      <c r="AJ9" s="223"/>
      <c r="AK9" s="223"/>
    </row>
    <row r="10" spans="2:37" ht="18" customHeight="1">
      <c r="B10" s="1105" t="s">
        <v>467</v>
      </c>
      <c r="C10" s="1105" t="s">
        <v>468</v>
      </c>
      <c r="D10" s="1105" t="s">
        <v>469</v>
      </c>
      <c r="E10" s="1099" t="s">
        <v>470</v>
      </c>
      <c r="F10" s="1100"/>
      <c r="G10" s="1100"/>
      <c r="H10" s="1100"/>
      <c r="I10" s="1100"/>
      <c r="J10" s="1100"/>
      <c r="K10" s="1110"/>
      <c r="L10" s="1099" t="s">
        <v>471</v>
      </c>
      <c r="M10" s="1100"/>
      <c r="N10" s="1100"/>
      <c r="O10" s="1100"/>
      <c r="P10" s="1100"/>
      <c r="Q10" s="1100"/>
      <c r="R10" s="1110"/>
      <c r="S10" s="1099" t="s">
        <v>472</v>
      </c>
      <c r="T10" s="1100"/>
      <c r="U10" s="1100"/>
      <c r="V10" s="1100"/>
      <c r="W10" s="1100"/>
      <c r="X10" s="1100"/>
      <c r="Y10" s="1110"/>
      <c r="Z10" s="1099" t="s">
        <v>473</v>
      </c>
      <c r="AA10" s="1100"/>
      <c r="AB10" s="1100"/>
      <c r="AC10" s="1100"/>
      <c r="AD10" s="1100"/>
      <c r="AE10" s="1100"/>
      <c r="AF10" s="1101"/>
      <c r="AG10" s="1102" t="s">
        <v>474</v>
      </c>
      <c r="AH10" s="1105" t="s">
        <v>475</v>
      </c>
      <c r="AI10" s="1105" t="s">
        <v>476</v>
      </c>
      <c r="AJ10" s="223"/>
      <c r="AK10" s="223"/>
    </row>
    <row r="11" spans="2:37" ht="18" customHeight="1">
      <c r="B11" s="1108"/>
      <c r="C11" s="1108"/>
      <c r="D11" s="1108"/>
      <c r="E11" s="452">
        <v>1</v>
      </c>
      <c r="F11" s="452">
        <v>2</v>
      </c>
      <c r="G11" s="452">
        <v>3</v>
      </c>
      <c r="H11" s="452">
        <v>4</v>
      </c>
      <c r="I11" s="452">
        <v>5</v>
      </c>
      <c r="J11" s="452">
        <v>6</v>
      </c>
      <c r="K11" s="452">
        <v>7</v>
      </c>
      <c r="L11" s="452">
        <v>8</v>
      </c>
      <c r="M11" s="452">
        <v>9</v>
      </c>
      <c r="N11" s="452">
        <v>10</v>
      </c>
      <c r="O11" s="452">
        <v>11</v>
      </c>
      <c r="P11" s="452">
        <v>12</v>
      </c>
      <c r="Q11" s="452">
        <v>13</v>
      </c>
      <c r="R11" s="452">
        <v>14</v>
      </c>
      <c r="S11" s="452">
        <v>15</v>
      </c>
      <c r="T11" s="452">
        <v>16</v>
      </c>
      <c r="U11" s="452">
        <v>17</v>
      </c>
      <c r="V11" s="452">
        <v>18</v>
      </c>
      <c r="W11" s="452">
        <v>19</v>
      </c>
      <c r="X11" s="452">
        <v>20</v>
      </c>
      <c r="Y11" s="452">
        <v>21</v>
      </c>
      <c r="Z11" s="452">
        <v>22</v>
      </c>
      <c r="AA11" s="452">
        <v>23</v>
      </c>
      <c r="AB11" s="452">
        <v>24</v>
      </c>
      <c r="AC11" s="452">
        <v>25</v>
      </c>
      <c r="AD11" s="452">
        <v>26</v>
      </c>
      <c r="AE11" s="452">
        <v>27</v>
      </c>
      <c r="AF11" s="392">
        <v>28</v>
      </c>
      <c r="AG11" s="1103"/>
      <c r="AH11" s="1106"/>
      <c r="AI11" s="1106"/>
      <c r="AJ11" s="223"/>
      <c r="AK11" s="223"/>
    </row>
    <row r="12" spans="2:37" ht="18" customHeight="1">
      <c r="B12" s="1109"/>
      <c r="C12" s="1109"/>
      <c r="D12" s="1109"/>
      <c r="E12" s="452" t="s">
        <v>477</v>
      </c>
      <c r="F12" s="224"/>
      <c r="G12" s="224"/>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5"/>
      <c r="AG12" s="1104"/>
      <c r="AH12" s="1107"/>
      <c r="AI12" s="1107"/>
      <c r="AJ12" s="223"/>
      <c r="AK12" s="223"/>
    </row>
    <row r="13" spans="2:37" ht="18" customHeight="1">
      <c r="B13" s="1097" t="s">
        <v>478</v>
      </c>
      <c r="C13" s="1097"/>
      <c r="D13" s="1097"/>
      <c r="E13" s="391" t="s">
        <v>479</v>
      </c>
      <c r="F13" s="391" t="s">
        <v>479</v>
      </c>
      <c r="G13" s="391" t="s">
        <v>480</v>
      </c>
      <c r="H13" s="391" t="s">
        <v>481</v>
      </c>
      <c r="I13" s="391" t="s">
        <v>482</v>
      </c>
      <c r="J13" s="391" t="s">
        <v>479</v>
      </c>
      <c r="K13" s="391" t="s">
        <v>482</v>
      </c>
      <c r="L13" s="226"/>
      <c r="M13" s="226"/>
      <c r="N13" s="226"/>
      <c r="O13" s="226"/>
      <c r="P13" s="226"/>
      <c r="Q13" s="226"/>
      <c r="R13" s="226"/>
      <c r="S13" s="226"/>
      <c r="T13" s="226"/>
      <c r="U13" s="226"/>
      <c r="V13" s="226"/>
      <c r="W13" s="226"/>
      <c r="X13" s="226"/>
      <c r="Y13" s="226"/>
      <c r="Z13" s="226"/>
      <c r="AA13" s="226"/>
      <c r="AB13" s="226"/>
      <c r="AC13" s="226"/>
      <c r="AD13" s="226"/>
      <c r="AE13" s="226"/>
      <c r="AF13" s="227"/>
      <c r="AG13" s="228"/>
      <c r="AH13" s="229"/>
      <c r="AI13" s="229"/>
    </row>
    <row r="14" spans="2:37" ht="18" customHeight="1">
      <c r="B14" s="1097" t="s">
        <v>483</v>
      </c>
      <c r="C14" s="1097"/>
      <c r="D14" s="1097"/>
      <c r="E14" s="391" t="s">
        <v>484</v>
      </c>
      <c r="F14" s="391" t="s">
        <v>484</v>
      </c>
      <c r="G14" s="391" t="s">
        <v>484</v>
      </c>
      <c r="H14" s="391" t="s">
        <v>485</v>
      </c>
      <c r="I14" s="391" t="s">
        <v>485</v>
      </c>
      <c r="J14" s="391" t="s">
        <v>486</v>
      </c>
      <c r="K14" s="391" t="s">
        <v>486</v>
      </c>
      <c r="L14" s="226"/>
      <c r="M14" s="226"/>
      <c r="N14" s="226"/>
      <c r="O14" s="226"/>
      <c r="P14" s="226"/>
      <c r="Q14" s="226"/>
      <c r="R14" s="226"/>
      <c r="S14" s="226"/>
      <c r="T14" s="226"/>
      <c r="U14" s="226"/>
      <c r="V14" s="226"/>
      <c r="W14" s="226"/>
      <c r="X14" s="226"/>
      <c r="Y14" s="226"/>
      <c r="Z14" s="226"/>
      <c r="AA14" s="226"/>
      <c r="AB14" s="226"/>
      <c r="AC14" s="226"/>
      <c r="AD14" s="226"/>
      <c r="AE14" s="226"/>
      <c r="AF14" s="227"/>
      <c r="AG14" s="228"/>
      <c r="AH14" s="229"/>
      <c r="AI14" s="229"/>
    </row>
    <row r="15" spans="2:37" ht="18" customHeight="1">
      <c r="B15" s="229"/>
      <c r="C15" s="229"/>
      <c r="D15" s="229"/>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230"/>
      <c r="AG15" s="228"/>
      <c r="AH15" s="229"/>
      <c r="AI15" s="229"/>
    </row>
    <row r="16" spans="2:37" ht="18" customHeight="1">
      <c r="B16" s="229"/>
      <c r="C16" s="229"/>
      <c r="D16" s="229"/>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230"/>
      <c r="AG16" s="228"/>
      <c r="AH16" s="229"/>
      <c r="AI16" s="229"/>
    </row>
    <row r="17" spans="2:37" ht="18" customHeight="1">
      <c r="B17" s="229"/>
      <c r="C17" s="229"/>
      <c r="D17" s="229"/>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230"/>
      <c r="AG17" s="228"/>
      <c r="AH17" s="229"/>
      <c r="AI17" s="229"/>
    </row>
    <row r="18" spans="2:37" ht="18" customHeight="1">
      <c r="B18" s="229"/>
      <c r="C18" s="229"/>
      <c r="D18" s="229"/>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230"/>
      <c r="AG18" s="228"/>
      <c r="AH18" s="229"/>
      <c r="AI18" s="229"/>
    </row>
    <row r="19" spans="2:37" ht="18" customHeight="1">
      <c r="B19" s="229"/>
      <c r="C19" s="229"/>
      <c r="D19" s="229"/>
      <c r="E19" s="391"/>
      <c r="F19" s="391"/>
      <c r="G19" s="391"/>
      <c r="H19" s="391"/>
      <c r="I19" s="391"/>
      <c r="J19" s="391"/>
      <c r="K19" s="391"/>
      <c r="L19" s="391"/>
      <c r="M19" s="391"/>
      <c r="N19" s="391"/>
      <c r="O19" s="391"/>
      <c r="P19" s="391"/>
      <c r="Q19" s="391"/>
      <c r="R19" s="391"/>
      <c r="S19" s="391"/>
      <c r="T19" s="391"/>
      <c r="U19" s="391"/>
      <c r="V19" s="391"/>
      <c r="W19" s="391"/>
      <c r="X19" s="391"/>
      <c r="Y19" s="391"/>
      <c r="Z19" s="391"/>
      <c r="AA19" s="391"/>
      <c r="AB19" s="391"/>
      <c r="AC19" s="391"/>
      <c r="AD19" s="391"/>
      <c r="AE19" s="391"/>
      <c r="AF19" s="230"/>
      <c r="AG19" s="228"/>
      <c r="AH19" s="229"/>
      <c r="AI19" s="229"/>
    </row>
    <row r="20" spans="2:37" ht="18" customHeight="1">
      <c r="B20" s="229"/>
      <c r="C20" s="229"/>
      <c r="D20" s="229"/>
      <c r="E20" s="391"/>
      <c r="F20" s="391"/>
      <c r="G20" s="391"/>
      <c r="H20" s="391"/>
      <c r="I20" s="391"/>
      <c r="J20" s="391"/>
      <c r="K20" s="391"/>
      <c r="L20" s="391"/>
      <c r="M20" s="391"/>
      <c r="N20" s="391"/>
      <c r="O20" s="391"/>
      <c r="P20" s="391"/>
      <c r="Q20" s="391"/>
      <c r="R20" s="391"/>
      <c r="S20" s="391"/>
      <c r="T20" s="391"/>
      <c r="U20" s="391"/>
      <c r="V20" s="391"/>
      <c r="W20" s="391"/>
      <c r="X20" s="391"/>
      <c r="Y20" s="391"/>
      <c r="Z20" s="391"/>
      <c r="AA20" s="391"/>
      <c r="AB20" s="391"/>
      <c r="AC20" s="391"/>
      <c r="AD20" s="391"/>
      <c r="AE20" s="391"/>
      <c r="AF20" s="230"/>
      <c r="AG20" s="228"/>
      <c r="AH20" s="229"/>
      <c r="AI20" s="229"/>
    </row>
    <row r="21" spans="2:37" ht="18" customHeight="1">
      <c r="B21" s="229"/>
      <c r="C21" s="229"/>
      <c r="D21" s="229"/>
      <c r="E21" s="391"/>
      <c r="F21" s="391"/>
      <c r="G21" s="391"/>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230"/>
      <c r="AG21" s="228"/>
      <c r="AH21" s="229"/>
      <c r="AI21" s="229"/>
    </row>
    <row r="22" spans="2:37" ht="18" customHeight="1">
      <c r="B22" s="229"/>
      <c r="C22" s="229"/>
      <c r="D22" s="229"/>
      <c r="E22" s="391"/>
      <c r="F22" s="391"/>
      <c r="G22" s="391"/>
      <c r="H22" s="391"/>
      <c r="I22" s="391"/>
      <c r="J22" s="391"/>
      <c r="K22" s="391"/>
      <c r="L22" s="391"/>
      <c r="M22" s="391"/>
      <c r="N22" s="391"/>
      <c r="O22" s="391"/>
      <c r="P22" s="391"/>
      <c r="Q22" s="391"/>
      <c r="R22" s="391"/>
      <c r="S22" s="391"/>
      <c r="T22" s="391"/>
      <c r="U22" s="391"/>
      <c r="V22" s="391"/>
      <c r="W22" s="391"/>
      <c r="X22" s="391"/>
      <c r="Y22" s="391"/>
      <c r="Z22" s="391"/>
      <c r="AA22" s="391"/>
      <c r="AB22" s="391"/>
      <c r="AC22" s="391"/>
      <c r="AD22" s="391"/>
      <c r="AE22" s="391"/>
      <c r="AF22" s="391"/>
      <c r="AG22" s="228"/>
      <c r="AH22" s="229"/>
      <c r="AI22" s="229"/>
    </row>
    <row r="23" spans="2:37" ht="18" customHeight="1">
      <c r="B23" s="229"/>
      <c r="C23" s="229"/>
      <c r="D23" s="229"/>
      <c r="E23" s="391"/>
      <c r="F23" s="391"/>
      <c r="G23" s="391"/>
      <c r="H23" s="391"/>
      <c r="I23" s="391"/>
      <c r="J23" s="391"/>
      <c r="K23" s="391"/>
      <c r="L23" s="391"/>
      <c r="M23" s="391"/>
      <c r="N23" s="391"/>
      <c r="O23" s="391"/>
      <c r="P23" s="391"/>
      <c r="Q23" s="391"/>
      <c r="R23" s="391"/>
      <c r="S23" s="391"/>
      <c r="T23" s="391"/>
      <c r="U23" s="391"/>
      <c r="V23" s="391"/>
      <c r="W23" s="391"/>
      <c r="X23" s="391"/>
      <c r="Y23" s="391"/>
      <c r="Z23" s="391"/>
      <c r="AA23" s="391"/>
      <c r="AB23" s="391"/>
      <c r="AC23" s="391"/>
      <c r="AD23" s="391"/>
      <c r="AE23" s="391"/>
      <c r="AF23" s="391"/>
      <c r="AG23" s="228"/>
      <c r="AH23" s="229"/>
      <c r="AI23" s="229"/>
    </row>
    <row r="24" spans="2:37" ht="18" customHeight="1" thickBot="1">
      <c r="B24" s="231"/>
      <c r="D24" s="231"/>
      <c r="E24" s="393"/>
      <c r="F24" s="393"/>
      <c r="G24" s="393"/>
      <c r="H24" s="393"/>
      <c r="I24" s="393"/>
      <c r="J24" s="393"/>
      <c r="K24" s="393"/>
      <c r="L24" s="393"/>
      <c r="M24" s="393"/>
      <c r="N24" s="393"/>
      <c r="O24" s="393"/>
      <c r="P24" s="393"/>
      <c r="Q24" s="393"/>
      <c r="R24" s="393"/>
      <c r="S24" s="393"/>
      <c r="T24" s="393"/>
      <c r="U24" s="393"/>
      <c r="V24" s="393"/>
      <c r="W24" s="393"/>
      <c r="X24" s="393"/>
      <c r="Y24" s="393"/>
      <c r="Z24" s="393"/>
      <c r="AA24" s="393"/>
      <c r="AB24" s="393"/>
      <c r="AC24" s="393"/>
      <c r="AD24" s="393"/>
      <c r="AE24" s="393"/>
      <c r="AF24" s="393"/>
      <c r="AG24" s="228"/>
      <c r="AH24" s="229"/>
      <c r="AI24" s="229"/>
    </row>
    <row r="25" spans="2:37" ht="18" customHeight="1" thickTop="1">
      <c r="B25" s="1096" t="s">
        <v>487</v>
      </c>
      <c r="C25" s="1098" t="s">
        <v>488</v>
      </c>
      <c r="D25" s="1098"/>
      <c r="E25" s="390"/>
      <c r="F25" s="390"/>
      <c r="G25" s="390"/>
      <c r="H25" s="390"/>
      <c r="I25" s="390"/>
      <c r="J25" s="390"/>
      <c r="K25" s="390"/>
      <c r="L25" s="390"/>
      <c r="M25" s="390"/>
      <c r="N25" s="390"/>
      <c r="O25" s="390"/>
      <c r="P25" s="390"/>
      <c r="Q25" s="390"/>
      <c r="R25" s="390"/>
      <c r="S25" s="390"/>
      <c r="T25" s="390"/>
      <c r="U25" s="390"/>
      <c r="V25" s="390"/>
      <c r="W25" s="390"/>
      <c r="X25" s="390"/>
      <c r="Y25" s="390"/>
      <c r="Z25" s="390"/>
      <c r="AA25" s="390"/>
      <c r="AB25" s="390"/>
      <c r="AC25" s="390"/>
      <c r="AD25" s="390"/>
      <c r="AE25" s="390"/>
      <c r="AF25" s="390"/>
      <c r="AI25" s="58"/>
    </row>
    <row r="26" spans="2:37" ht="30" customHeight="1">
      <c r="B26" s="1097"/>
      <c r="C26" s="1097" t="s">
        <v>489</v>
      </c>
      <c r="D26" s="1097"/>
      <c r="E26" s="232"/>
      <c r="F26" s="232"/>
      <c r="G26" s="232"/>
      <c r="H26" s="232"/>
      <c r="I26" s="232"/>
      <c r="J26" s="232"/>
      <c r="K26" s="232"/>
      <c r="L26" s="232"/>
      <c r="M26" s="232"/>
      <c r="N26" s="232"/>
      <c r="O26" s="232"/>
      <c r="P26" s="232"/>
      <c r="Q26" s="232"/>
      <c r="R26" s="232"/>
      <c r="S26" s="232"/>
      <c r="T26" s="232"/>
      <c r="U26" s="232"/>
      <c r="V26" s="232"/>
      <c r="W26" s="232"/>
      <c r="X26" s="232"/>
      <c r="Y26" s="232"/>
      <c r="Z26" s="232"/>
      <c r="AA26" s="232"/>
      <c r="AB26" s="232"/>
      <c r="AC26" s="232"/>
      <c r="AD26" s="232"/>
      <c r="AE26" s="232"/>
      <c r="AF26" s="232"/>
      <c r="AI26" s="233"/>
    </row>
    <row r="27" spans="2:37" ht="8.25" customHeight="1">
      <c r="B27" s="234"/>
      <c r="C27" s="235"/>
      <c r="D27" s="235"/>
      <c r="E27" s="235"/>
      <c r="F27" s="235"/>
      <c r="G27" s="235"/>
      <c r="H27" s="235"/>
      <c r="I27" s="235"/>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I27" s="233"/>
    </row>
    <row r="28" spans="2:37">
      <c r="B28" s="236" t="s">
        <v>490</v>
      </c>
      <c r="E28" s="528"/>
      <c r="AI28" s="237"/>
      <c r="AJ28" s="238"/>
      <c r="AK28" s="238"/>
    </row>
    <row r="29" spans="2:37" ht="6" customHeight="1">
      <c r="B29" s="236"/>
      <c r="AI29" s="233"/>
    </row>
    <row r="30" spans="2:37">
      <c r="B30" s="236" t="s">
        <v>491</v>
      </c>
      <c r="AI30" s="233"/>
    </row>
    <row r="31" spans="2:37">
      <c r="B31" s="236" t="s">
        <v>492</v>
      </c>
      <c r="AI31" s="233"/>
    </row>
    <row r="32" spans="2:37" ht="6.75" customHeight="1">
      <c r="B32" s="236"/>
      <c r="AI32" s="233"/>
    </row>
    <row r="33" spans="2:35">
      <c r="B33" s="236" t="s">
        <v>493</v>
      </c>
      <c r="AI33" s="233"/>
    </row>
    <row r="34" spans="2:35">
      <c r="B34" s="236" t="s">
        <v>492</v>
      </c>
      <c r="AI34" s="233"/>
    </row>
    <row r="35" spans="2:35" ht="6.75" customHeight="1">
      <c r="B35" s="236"/>
      <c r="AI35" s="233"/>
    </row>
    <row r="36" spans="2:35">
      <c r="B36" s="236" t="s">
        <v>494</v>
      </c>
      <c r="AI36" s="233"/>
    </row>
    <row r="37" spans="2:35">
      <c r="B37" s="236" t="s">
        <v>492</v>
      </c>
      <c r="AI37" s="233"/>
    </row>
    <row r="38" spans="2:35" ht="6" customHeight="1">
      <c r="B38" s="23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220"/>
      <c r="C39" s="57"/>
    </row>
    <row r="40" spans="2:35" ht="6.75" customHeight="1">
      <c r="B40" s="220"/>
    </row>
    <row r="41" spans="2:35">
      <c r="B41" s="1" t="s">
        <v>495</v>
      </c>
    </row>
    <row r="42" spans="2:35">
      <c r="B42" s="1" t="s">
        <v>496</v>
      </c>
    </row>
    <row r="43" spans="2:35">
      <c r="B43" s="1" t="s">
        <v>497</v>
      </c>
    </row>
    <row r="44" spans="2:35">
      <c r="B44" s="1" t="s">
        <v>498</v>
      </c>
    </row>
    <row r="45" spans="2:35">
      <c r="B45" s="1" t="s">
        <v>499</v>
      </c>
    </row>
    <row r="46" spans="2:35">
      <c r="B46" s="1" t="s">
        <v>1047</v>
      </c>
    </row>
    <row r="47" spans="2:35">
      <c r="B47" s="1" t="s">
        <v>500</v>
      </c>
    </row>
    <row r="48" spans="2:35">
      <c r="B48" s="1" t="s">
        <v>501</v>
      </c>
    </row>
    <row r="49" spans="2:2">
      <c r="B49" s="1" t="s">
        <v>502</v>
      </c>
    </row>
    <row r="50" spans="2:2">
      <c r="B50" s="1" t="s">
        <v>503</v>
      </c>
    </row>
    <row r="51" spans="2:2" ht="14.4">
      <c r="B51" s="240" t="s">
        <v>504</v>
      </c>
    </row>
    <row r="52" spans="2:2">
      <c r="B52" s="1" t="s">
        <v>505</v>
      </c>
    </row>
    <row r="53" spans="2:2">
      <c r="B53" s="1" t="s">
        <v>506</v>
      </c>
    </row>
    <row r="54" spans="2:2">
      <c r="B54" s="1" t="s">
        <v>507</v>
      </c>
    </row>
    <row r="55" spans="2:2">
      <c r="B55" s="1" t="s">
        <v>508</v>
      </c>
    </row>
    <row r="56" spans="2:2">
      <c r="B56" s="1" t="s">
        <v>1048</v>
      </c>
    </row>
    <row r="57" spans="2:2">
      <c r="B57" s="1" t="s">
        <v>509</v>
      </c>
    </row>
    <row r="58" spans="2:2">
      <c r="B58" s="1" t="s">
        <v>510</v>
      </c>
    </row>
    <row r="59" spans="2:2">
      <c r="B59" s="1" t="s">
        <v>511</v>
      </c>
    </row>
    <row r="60" spans="2:2">
      <c r="B60" s="1" t="s">
        <v>512</v>
      </c>
    </row>
    <row r="61" spans="2:2">
      <c r="B61" s="1" t="s">
        <v>513</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29"/>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3"/>
  <printOptions horizontalCentered="1"/>
  <pageMargins left="0.23622047244094491" right="0.23622047244094491" top="0.74803149606299213" bottom="0.74803149606299213" header="0.31496062992125984" footer="0.31496062992125984"/>
  <pageSetup paperSize="9" scale="89" fitToHeight="0" orientation="landscape" cellComments="asDisplayed" r:id="rId1"/>
  <headerFooter alignWithMargins="0"/>
  <rowBreaks count="2" manualBreakCount="2">
    <brk id="39" max="34" man="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DA869-3F79-42DE-9563-3B55A8F35336}">
  <sheetPr>
    <tabColor rgb="FFFFFF00"/>
  </sheetPr>
  <dimension ref="A1:X965"/>
  <sheetViews>
    <sheetView view="pageBreakPreview" zoomScaleNormal="100" zoomScaleSheetLayoutView="100" workbookViewId="0">
      <selection activeCell="H45" sqref="H45:I45"/>
    </sheetView>
  </sheetViews>
  <sheetFormatPr defaultColWidth="9" defaultRowHeight="13.2"/>
  <cols>
    <col min="1" max="1" width="1.6640625" style="313" customWidth="1"/>
    <col min="2" max="2" width="9.6640625" style="313" customWidth="1"/>
    <col min="3" max="3" width="8.6640625" style="313" customWidth="1"/>
    <col min="4" max="4" width="5.6640625" style="313" customWidth="1"/>
    <col min="5" max="6" width="15.6640625" style="313" customWidth="1"/>
    <col min="7" max="7" width="5.6640625" style="313" customWidth="1"/>
    <col min="8" max="8" width="16.6640625" style="313" customWidth="1"/>
    <col min="9" max="9" width="5.6640625" style="313" customWidth="1"/>
    <col min="10" max="10" width="15.6640625" style="313" customWidth="1"/>
    <col min="11" max="11" width="5.6640625" style="313" customWidth="1"/>
    <col min="12" max="12" width="3.109375" style="313" customWidth="1"/>
    <col min="13" max="18" width="4.6640625" style="313" customWidth="1"/>
    <col min="19" max="19" width="1.6640625" style="313" customWidth="1"/>
    <col min="20" max="21" width="9" style="313"/>
    <col min="22" max="22" width="18.44140625" style="313" bestFit="1" customWidth="1"/>
    <col min="23" max="23" width="29.88671875" style="313" bestFit="1" customWidth="1"/>
    <col min="24" max="24" width="30.33203125" style="313" bestFit="1" customWidth="1"/>
    <col min="25" max="256" width="9" style="313"/>
    <col min="257" max="257" width="1.6640625" style="313" customWidth="1"/>
    <col min="258" max="258" width="9.6640625" style="313" customWidth="1"/>
    <col min="259" max="259" width="8.6640625" style="313" customWidth="1"/>
    <col min="260" max="260" width="5.6640625" style="313" customWidth="1"/>
    <col min="261" max="262" width="15.6640625" style="313" customWidth="1"/>
    <col min="263" max="263" width="5.6640625" style="313" customWidth="1"/>
    <col min="264" max="264" width="16.6640625" style="313" customWidth="1"/>
    <col min="265" max="265" width="5.6640625" style="313" customWidth="1"/>
    <col min="266" max="266" width="15.6640625" style="313" customWidth="1"/>
    <col min="267" max="267" width="5.6640625" style="313" customWidth="1"/>
    <col min="268" max="268" width="3.109375" style="313" customWidth="1"/>
    <col min="269" max="274" width="4.6640625" style="313" customWidth="1"/>
    <col min="275" max="275" width="1.6640625" style="313" customWidth="1"/>
    <col min="276" max="277" width="9" style="313"/>
    <col min="278" max="278" width="18.44140625" style="313" bestFit="1" customWidth="1"/>
    <col min="279" max="279" width="29.88671875" style="313" bestFit="1" customWidth="1"/>
    <col min="280" max="280" width="30.33203125" style="313" bestFit="1" customWidth="1"/>
    <col min="281" max="512" width="9" style="313"/>
    <col min="513" max="513" width="1.6640625" style="313" customWidth="1"/>
    <col min="514" max="514" width="9.6640625" style="313" customWidth="1"/>
    <col min="515" max="515" width="8.6640625" style="313" customWidth="1"/>
    <col min="516" max="516" width="5.6640625" style="313" customWidth="1"/>
    <col min="517" max="518" width="15.6640625" style="313" customWidth="1"/>
    <col min="519" max="519" width="5.6640625" style="313" customWidth="1"/>
    <col min="520" max="520" width="16.6640625" style="313" customWidth="1"/>
    <col min="521" max="521" width="5.6640625" style="313" customWidth="1"/>
    <col min="522" max="522" width="15.6640625" style="313" customWidth="1"/>
    <col min="523" max="523" width="5.6640625" style="313" customWidth="1"/>
    <col min="524" max="524" width="3.109375" style="313" customWidth="1"/>
    <col min="525" max="530" width="4.6640625" style="313" customWidth="1"/>
    <col min="531" max="531" width="1.6640625" style="313" customWidth="1"/>
    <col min="532" max="533" width="9" style="313"/>
    <col min="534" max="534" width="18.44140625" style="313" bestFit="1" customWidth="1"/>
    <col min="535" max="535" width="29.88671875" style="313" bestFit="1" customWidth="1"/>
    <col min="536" max="536" width="30.33203125" style="313" bestFit="1" customWidth="1"/>
    <col min="537" max="768" width="9" style="313"/>
    <col min="769" max="769" width="1.6640625" style="313" customWidth="1"/>
    <col min="770" max="770" width="9.6640625" style="313" customWidth="1"/>
    <col min="771" max="771" width="8.6640625" style="313" customWidth="1"/>
    <col min="772" max="772" width="5.6640625" style="313" customWidth="1"/>
    <col min="773" max="774" width="15.6640625" style="313" customWidth="1"/>
    <col min="775" max="775" width="5.6640625" style="313" customWidth="1"/>
    <col min="776" max="776" width="16.6640625" style="313" customWidth="1"/>
    <col min="777" max="777" width="5.6640625" style="313" customWidth="1"/>
    <col min="778" max="778" width="15.6640625" style="313" customWidth="1"/>
    <col min="779" max="779" width="5.6640625" style="313" customWidth="1"/>
    <col min="780" max="780" width="3.109375" style="313" customWidth="1"/>
    <col min="781" max="786" width="4.6640625" style="313" customWidth="1"/>
    <col min="787" max="787" width="1.6640625" style="313" customWidth="1"/>
    <col min="788" max="789" width="9" style="313"/>
    <col min="790" max="790" width="18.44140625" style="313" bestFit="1" customWidth="1"/>
    <col min="791" max="791" width="29.88671875" style="313" bestFit="1" customWidth="1"/>
    <col min="792" max="792" width="30.33203125" style="313" bestFit="1" customWidth="1"/>
    <col min="793" max="1024" width="9" style="313"/>
    <col min="1025" max="1025" width="1.6640625" style="313" customWidth="1"/>
    <col min="1026" max="1026" width="9.6640625" style="313" customWidth="1"/>
    <col min="1027" max="1027" width="8.6640625" style="313" customWidth="1"/>
    <col min="1028" max="1028" width="5.6640625" style="313" customWidth="1"/>
    <col min="1029" max="1030" width="15.6640625" style="313" customWidth="1"/>
    <col min="1031" max="1031" width="5.6640625" style="313" customWidth="1"/>
    <col min="1032" max="1032" width="16.6640625" style="313" customWidth="1"/>
    <col min="1033" max="1033" width="5.6640625" style="313" customWidth="1"/>
    <col min="1034" max="1034" width="15.6640625" style="313" customWidth="1"/>
    <col min="1035" max="1035" width="5.6640625" style="313" customWidth="1"/>
    <col min="1036" max="1036" width="3.109375" style="313" customWidth="1"/>
    <col min="1037" max="1042" width="4.6640625" style="313" customWidth="1"/>
    <col min="1043" max="1043" width="1.6640625" style="313" customWidth="1"/>
    <col min="1044" max="1045" width="9" style="313"/>
    <col min="1046" max="1046" width="18.44140625" style="313" bestFit="1" customWidth="1"/>
    <col min="1047" max="1047" width="29.88671875" style="313" bestFit="1" customWidth="1"/>
    <col min="1048" max="1048" width="30.33203125" style="313" bestFit="1" customWidth="1"/>
    <col min="1049" max="1280" width="9" style="313"/>
    <col min="1281" max="1281" width="1.6640625" style="313" customWidth="1"/>
    <col min="1282" max="1282" width="9.6640625" style="313" customWidth="1"/>
    <col min="1283" max="1283" width="8.6640625" style="313" customWidth="1"/>
    <col min="1284" max="1284" width="5.6640625" style="313" customWidth="1"/>
    <col min="1285" max="1286" width="15.6640625" style="313" customWidth="1"/>
    <col min="1287" max="1287" width="5.6640625" style="313" customWidth="1"/>
    <col min="1288" max="1288" width="16.6640625" style="313" customWidth="1"/>
    <col min="1289" max="1289" width="5.6640625" style="313" customWidth="1"/>
    <col min="1290" max="1290" width="15.6640625" style="313" customWidth="1"/>
    <col min="1291" max="1291" width="5.6640625" style="313" customWidth="1"/>
    <col min="1292" max="1292" width="3.109375" style="313" customWidth="1"/>
    <col min="1293" max="1298" width="4.6640625" style="313" customWidth="1"/>
    <col min="1299" max="1299" width="1.6640625" style="313" customWidth="1"/>
    <col min="1300" max="1301" width="9" style="313"/>
    <col min="1302" max="1302" width="18.44140625" style="313" bestFit="1" customWidth="1"/>
    <col min="1303" max="1303" width="29.88671875" style="313" bestFit="1" customWidth="1"/>
    <col min="1304" max="1304" width="30.33203125" style="313" bestFit="1" customWidth="1"/>
    <col min="1305" max="1536" width="9" style="313"/>
    <col min="1537" max="1537" width="1.6640625" style="313" customWidth="1"/>
    <col min="1538" max="1538" width="9.6640625" style="313" customWidth="1"/>
    <col min="1539" max="1539" width="8.6640625" style="313" customWidth="1"/>
    <col min="1540" max="1540" width="5.6640625" style="313" customWidth="1"/>
    <col min="1541" max="1542" width="15.6640625" style="313" customWidth="1"/>
    <col min="1543" max="1543" width="5.6640625" style="313" customWidth="1"/>
    <col min="1544" max="1544" width="16.6640625" style="313" customWidth="1"/>
    <col min="1545" max="1545" width="5.6640625" style="313" customWidth="1"/>
    <col min="1546" max="1546" width="15.6640625" style="313" customWidth="1"/>
    <col min="1547" max="1547" width="5.6640625" style="313" customWidth="1"/>
    <col min="1548" max="1548" width="3.109375" style="313" customWidth="1"/>
    <col min="1549" max="1554" width="4.6640625" style="313" customWidth="1"/>
    <col min="1555" max="1555" width="1.6640625" style="313" customWidth="1"/>
    <col min="1556" max="1557" width="9" style="313"/>
    <col min="1558" max="1558" width="18.44140625" style="313" bestFit="1" customWidth="1"/>
    <col min="1559" max="1559" width="29.88671875" style="313" bestFit="1" customWidth="1"/>
    <col min="1560" max="1560" width="30.33203125" style="313" bestFit="1" customWidth="1"/>
    <col min="1561" max="1792" width="9" style="313"/>
    <col min="1793" max="1793" width="1.6640625" style="313" customWidth="1"/>
    <col min="1794" max="1794" width="9.6640625" style="313" customWidth="1"/>
    <col min="1795" max="1795" width="8.6640625" style="313" customWidth="1"/>
    <col min="1796" max="1796" width="5.6640625" style="313" customWidth="1"/>
    <col min="1797" max="1798" width="15.6640625" style="313" customWidth="1"/>
    <col min="1799" max="1799" width="5.6640625" style="313" customWidth="1"/>
    <col min="1800" max="1800" width="16.6640625" style="313" customWidth="1"/>
    <col min="1801" max="1801" width="5.6640625" style="313" customWidth="1"/>
    <col min="1802" max="1802" width="15.6640625" style="313" customWidth="1"/>
    <col min="1803" max="1803" width="5.6640625" style="313" customWidth="1"/>
    <col min="1804" max="1804" width="3.109375" style="313" customWidth="1"/>
    <col min="1805" max="1810" width="4.6640625" style="313" customWidth="1"/>
    <col min="1811" max="1811" width="1.6640625" style="313" customWidth="1"/>
    <col min="1812" max="1813" width="9" style="313"/>
    <col min="1814" max="1814" width="18.44140625" style="313" bestFit="1" customWidth="1"/>
    <col min="1815" max="1815" width="29.88671875" style="313" bestFit="1" customWidth="1"/>
    <col min="1816" max="1816" width="30.33203125" style="313" bestFit="1" customWidth="1"/>
    <col min="1817" max="2048" width="9" style="313"/>
    <col min="2049" max="2049" width="1.6640625" style="313" customWidth="1"/>
    <col min="2050" max="2050" width="9.6640625" style="313" customWidth="1"/>
    <col min="2051" max="2051" width="8.6640625" style="313" customWidth="1"/>
    <col min="2052" max="2052" width="5.6640625" style="313" customWidth="1"/>
    <col min="2053" max="2054" width="15.6640625" style="313" customWidth="1"/>
    <col min="2055" max="2055" width="5.6640625" style="313" customWidth="1"/>
    <col min="2056" max="2056" width="16.6640625" style="313" customWidth="1"/>
    <col min="2057" max="2057" width="5.6640625" style="313" customWidth="1"/>
    <col min="2058" max="2058" width="15.6640625" style="313" customWidth="1"/>
    <col min="2059" max="2059" width="5.6640625" style="313" customWidth="1"/>
    <col min="2060" max="2060" width="3.109375" style="313" customWidth="1"/>
    <col min="2061" max="2066" width="4.6640625" style="313" customWidth="1"/>
    <col min="2067" max="2067" width="1.6640625" style="313" customWidth="1"/>
    <col min="2068" max="2069" width="9" style="313"/>
    <col min="2070" max="2070" width="18.44140625" style="313" bestFit="1" customWidth="1"/>
    <col min="2071" max="2071" width="29.88671875" style="313" bestFit="1" customWidth="1"/>
    <col min="2072" max="2072" width="30.33203125" style="313" bestFit="1" customWidth="1"/>
    <col min="2073" max="2304" width="9" style="313"/>
    <col min="2305" max="2305" width="1.6640625" style="313" customWidth="1"/>
    <col min="2306" max="2306" width="9.6640625" style="313" customWidth="1"/>
    <col min="2307" max="2307" width="8.6640625" style="313" customWidth="1"/>
    <col min="2308" max="2308" width="5.6640625" style="313" customWidth="1"/>
    <col min="2309" max="2310" width="15.6640625" style="313" customWidth="1"/>
    <col min="2311" max="2311" width="5.6640625" style="313" customWidth="1"/>
    <col min="2312" max="2312" width="16.6640625" style="313" customWidth="1"/>
    <col min="2313" max="2313" width="5.6640625" style="313" customWidth="1"/>
    <col min="2314" max="2314" width="15.6640625" style="313" customWidth="1"/>
    <col min="2315" max="2315" width="5.6640625" style="313" customWidth="1"/>
    <col min="2316" max="2316" width="3.109375" style="313" customWidth="1"/>
    <col min="2317" max="2322" width="4.6640625" style="313" customWidth="1"/>
    <col min="2323" max="2323" width="1.6640625" style="313" customWidth="1"/>
    <col min="2324" max="2325" width="9" style="313"/>
    <col min="2326" max="2326" width="18.44140625" style="313" bestFit="1" customWidth="1"/>
    <col min="2327" max="2327" width="29.88671875" style="313" bestFit="1" customWidth="1"/>
    <col min="2328" max="2328" width="30.33203125" style="313" bestFit="1" customWidth="1"/>
    <col min="2329" max="2560" width="9" style="313"/>
    <col min="2561" max="2561" width="1.6640625" style="313" customWidth="1"/>
    <col min="2562" max="2562" width="9.6640625" style="313" customWidth="1"/>
    <col min="2563" max="2563" width="8.6640625" style="313" customWidth="1"/>
    <col min="2564" max="2564" width="5.6640625" style="313" customWidth="1"/>
    <col min="2565" max="2566" width="15.6640625" style="313" customWidth="1"/>
    <col min="2567" max="2567" width="5.6640625" style="313" customWidth="1"/>
    <col min="2568" max="2568" width="16.6640625" style="313" customWidth="1"/>
    <col min="2569" max="2569" width="5.6640625" style="313" customWidth="1"/>
    <col min="2570" max="2570" width="15.6640625" style="313" customWidth="1"/>
    <col min="2571" max="2571" width="5.6640625" style="313" customWidth="1"/>
    <col min="2572" max="2572" width="3.109375" style="313" customWidth="1"/>
    <col min="2573" max="2578" width="4.6640625" style="313" customWidth="1"/>
    <col min="2579" max="2579" width="1.6640625" style="313" customWidth="1"/>
    <col min="2580" max="2581" width="9" style="313"/>
    <col min="2582" max="2582" width="18.44140625" style="313" bestFit="1" customWidth="1"/>
    <col min="2583" max="2583" width="29.88671875" style="313" bestFit="1" customWidth="1"/>
    <col min="2584" max="2584" width="30.33203125" style="313" bestFit="1" customWidth="1"/>
    <col min="2585" max="2816" width="9" style="313"/>
    <col min="2817" max="2817" width="1.6640625" style="313" customWidth="1"/>
    <col min="2818" max="2818" width="9.6640625" style="313" customWidth="1"/>
    <col min="2819" max="2819" width="8.6640625" style="313" customWidth="1"/>
    <col min="2820" max="2820" width="5.6640625" style="313" customWidth="1"/>
    <col min="2821" max="2822" width="15.6640625" style="313" customWidth="1"/>
    <col min="2823" max="2823" width="5.6640625" style="313" customWidth="1"/>
    <col min="2824" max="2824" width="16.6640625" style="313" customWidth="1"/>
    <col min="2825" max="2825" width="5.6640625" style="313" customWidth="1"/>
    <col min="2826" max="2826" width="15.6640625" style="313" customWidth="1"/>
    <col min="2827" max="2827" width="5.6640625" style="313" customWidth="1"/>
    <col min="2828" max="2828" width="3.109375" style="313" customWidth="1"/>
    <col min="2829" max="2834" width="4.6640625" style="313" customWidth="1"/>
    <col min="2835" max="2835" width="1.6640625" style="313" customWidth="1"/>
    <col min="2836" max="2837" width="9" style="313"/>
    <col min="2838" max="2838" width="18.44140625" style="313" bestFit="1" customWidth="1"/>
    <col min="2839" max="2839" width="29.88671875" style="313" bestFit="1" customWidth="1"/>
    <col min="2840" max="2840" width="30.33203125" style="313" bestFit="1" customWidth="1"/>
    <col min="2841" max="3072" width="9" style="313"/>
    <col min="3073" max="3073" width="1.6640625" style="313" customWidth="1"/>
    <col min="3074" max="3074" width="9.6640625" style="313" customWidth="1"/>
    <col min="3075" max="3075" width="8.6640625" style="313" customWidth="1"/>
    <col min="3076" max="3076" width="5.6640625" style="313" customWidth="1"/>
    <col min="3077" max="3078" width="15.6640625" style="313" customWidth="1"/>
    <col min="3079" max="3079" width="5.6640625" style="313" customWidth="1"/>
    <col min="3080" max="3080" width="16.6640625" style="313" customWidth="1"/>
    <col min="3081" max="3081" width="5.6640625" style="313" customWidth="1"/>
    <col min="3082" max="3082" width="15.6640625" style="313" customWidth="1"/>
    <col min="3083" max="3083" width="5.6640625" style="313" customWidth="1"/>
    <col min="3084" max="3084" width="3.109375" style="313" customWidth="1"/>
    <col min="3085" max="3090" width="4.6640625" style="313" customWidth="1"/>
    <col min="3091" max="3091" width="1.6640625" style="313" customWidth="1"/>
    <col min="3092" max="3093" width="9" style="313"/>
    <col min="3094" max="3094" width="18.44140625" style="313" bestFit="1" customWidth="1"/>
    <col min="3095" max="3095" width="29.88671875" style="313" bestFit="1" customWidth="1"/>
    <col min="3096" max="3096" width="30.33203125" style="313" bestFit="1" customWidth="1"/>
    <col min="3097" max="3328" width="9" style="313"/>
    <col min="3329" max="3329" width="1.6640625" style="313" customWidth="1"/>
    <col min="3330" max="3330" width="9.6640625" style="313" customWidth="1"/>
    <col min="3331" max="3331" width="8.6640625" style="313" customWidth="1"/>
    <col min="3332" max="3332" width="5.6640625" style="313" customWidth="1"/>
    <col min="3333" max="3334" width="15.6640625" style="313" customWidth="1"/>
    <col min="3335" max="3335" width="5.6640625" style="313" customWidth="1"/>
    <col min="3336" max="3336" width="16.6640625" style="313" customWidth="1"/>
    <col min="3337" max="3337" width="5.6640625" style="313" customWidth="1"/>
    <col min="3338" max="3338" width="15.6640625" style="313" customWidth="1"/>
    <col min="3339" max="3339" width="5.6640625" style="313" customWidth="1"/>
    <col min="3340" max="3340" width="3.109375" style="313" customWidth="1"/>
    <col min="3341" max="3346" width="4.6640625" style="313" customWidth="1"/>
    <col min="3347" max="3347" width="1.6640625" style="313" customWidth="1"/>
    <col min="3348" max="3349" width="9" style="313"/>
    <col min="3350" max="3350" width="18.44140625" style="313" bestFit="1" customWidth="1"/>
    <col min="3351" max="3351" width="29.88671875" style="313" bestFit="1" customWidth="1"/>
    <col min="3352" max="3352" width="30.33203125" style="313" bestFit="1" customWidth="1"/>
    <col min="3353" max="3584" width="9" style="313"/>
    <col min="3585" max="3585" width="1.6640625" style="313" customWidth="1"/>
    <col min="3586" max="3586" width="9.6640625" style="313" customWidth="1"/>
    <col min="3587" max="3587" width="8.6640625" style="313" customWidth="1"/>
    <col min="3588" max="3588" width="5.6640625" style="313" customWidth="1"/>
    <col min="3589" max="3590" width="15.6640625" style="313" customWidth="1"/>
    <col min="3591" max="3591" width="5.6640625" style="313" customWidth="1"/>
    <col min="3592" max="3592" width="16.6640625" style="313" customWidth="1"/>
    <col min="3593" max="3593" width="5.6640625" style="313" customWidth="1"/>
    <col min="3594" max="3594" width="15.6640625" style="313" customWidth="1"/>
    <col min="3595" max="3595" width="5.6640625" style="313" customWidth="1"/>
    <col min="3596" max="3596" width="3.109375" style="313" customWidth="1"/>
    <col min="3597" max="3602" width="4.6640625" style="313" customWidth="1"/>
    <col min="3603" max="3603" width="1.6640625" style="313" customWidth="1"/>
    <col min="3604" max="3605" width="9" style="313"/>
    <col min="3606" max="3606" width="18.44140625" style="313" bestFit="1" customWidth="1"/>
    <col min="3607" max="3607" width="29.88671875" style="313" bestFit="1" customWidth="1"/>
    <col min="3608" max="3608" width="30.33203125" style="313" bestFit="1" customWidth="1"/>
    <col min="3609" max="3840" width="9" style="313"/>
    <col min="3841" max="3841" width="1.6640625" style="313" customWidth="1"/>
    <col min="3842" max="3842" width="9.6640625" style="313" customWidth="1"/>
    <col min="3843" max="3843" width="8.6640625" style="313" customWidth="1"/>
    <col min="3844" max="3844" width="5.6640625" style="313" customWidth="1"/>
    <col min="3845" max="3846" width="15.6640625" style="313" customWidth="1"/>
    <col min="3847" max="3847" width="5.6640625" style="313" customWidth="1"/>
    <col min="3848" max="3848" width="16.6640625" style="313" customWidth="1"/>
    <col min="3849" max="3849" width="5.6640625" style="313" customWidth="1"/>
    <col min="3850" max="3850" width="15.6640625" style="313" customWidth="1"/>
    <col min="3851" max="3851" width="5.6640625" style="313" customWidth="1"/>
    <col min="3852" max="3852" width="3.109375" style="313" customWidth="1"/>
    <col min="3853" max="3858" width="4.6640625" style="313" customWidth="1"/>
    <col min="3859" max="3859" width="1.6640625" style="313" customWidth="1"/>
    <col min="3860" max="3861" width="9" style="313"/>
    <col min="3862" max="3862" width="18.44140625" style="313" bestFit="1" customWidth="1"/>
    <col min="3863" max="3863" width="29.88671875" style="313" bestFit="1" customWidth="1"/>
    <col min="3864" max="3864" width="30.33203125" style="313" bestFit="1" customWidth="1"/>
    <col min="3865" max="4096" width="9" style="313"/>
    <col min="4097" max="4097" width="1.6640625" style="313" customWidth="1"/>
    <col min="4098" max="4098" width="9.6640625" style="313" customWidth="1"/>
    <col min="4099" max="4099" width="8.6640625" style="313" customWidth="1"/>
    <col min="4100" max="4100" width="5.6640625" style="313" customWidth="1"/>
    <col min="4101" max="4102" width="15.6640625" style="313" customWidth="1"/>
    <col min="4103" max="4103" width="5.6640625" style="313" customWidth="1"/>
    <col min="4104" max="4104" width="16.6640625" style="313" customWidth="1"/>
    <col min="4105" max="4105" width="5.6640625" style="313" customWidth="1"/>
    <col min="4106" max="4106" width="15.6640625" style="313" customWidth="1"/>
    <col min="4107" max="4107" width="5.6640625" style="313" customWidth="1"/>
    <col min="4108" max="4108" width="3.109375" style="313" customWidth="1"/>
    <col min="4109" max="4114" width="4.6640625" style="313" customWidth="1"/>
    <col min="4115" max="4115" width="1.6640625" style="313" customWidth="1"/>
    <col min="4116" max="4117" width="9" style="313"/>
    <col min="4118" max="4118" width="18.44140625" style="313" bestFit="1" customWidth="1"/>
    <col min="4119" max="4119" width="29.88671875" style="313" bestFit="1" customWidth="1"/>
    <col min="4120" max="4120" width="30.33203125" style="313" bestFit="1" customWidth="1"/>
    <col min="4121" max="4352" width="9" style="313"/>
    <col min="4353" max="4353" width="1.6640625" style="313" customWidth="1"/>
    <col min="4354" max="4354" width="9.6640625" style="313" customWidth="1"/>
    <col min="4355" max="4355" width="8.6640625" style="313" customWidth="1"/>
    <col min="4356" max="4356" width="5.6640625" style="313" customWidth="1"/>
    <col min="4357" max="4358" width="15.6640625" style="313" customWidth="1"/>
    <col min="4359" max="4359" width="5.6640625" style="313" customWidth="1"/>
    <col min="4360" max="4360" width="16.6640625" style="313" customWidth="1"/>
    <col min="4361" max="4361" width="5.6640625" style="313" customWidth="1"/>
    <col min="4362" max="4362" width="15.6640625" style="313" customWidth="1"/>
    <col min="4363" max="4363" width="5.6640625" style="313" customWidth="1"/>
    <col min="4364" max="4364" width="3.109375" style="313" customWidth="1"/>
    <col min="4365" max="4370" width="4.6640625" style="313" customWidth="1"/>
    <col min="4371" max="4371" width="1.6640625" style="313" customWidth="1"/>
    <col min="4372" max="4373" width="9" style="313"/>
    <col min="4374" max="4374" width="18.44140625" style="313" bestFit="1" customWidth="1"/>
    <col min="4375" max="4375" width="29.88671875" style="313" bestFit="1" customWidth="1"/>
    <col min="4376" max="4376" width="30.33203125" style="313" bestFit="1" customWidth="1"/>
    <col min="4377" max="4608" width="9" style="313"/>
    <col min="4609" max="4609" width="1.6640625" style="313" customWidth="1"/>
    <col min="4610" max="4610" width="9.6640625" style="313" customWidth="1"/>
    <col min="4611" max="4611" width="8.6640625" style="313" customWidth="1"/>
    <col min="4612" max="4612" width="5.6640625" style="313" customWidth="1"/>
    <col min="4613" max="4614" width="15.6640625" style="313" customWidth="1"/>
    <col min="4615" max="4615" width="5.6640625" style="313" customWidth="1"/>
    <col min="4616" max="4616" width="16.6640625" style="313" customWidth="1"/>
    <col min="4617" max="4617" width="5.6640625" style="313" customWidth="1"/>
    <col min="4618" max="4618" width="15.6640625" style="313" customWidth="1"/>
    <col min="4619" max="4619" width="5.6640625" style="313" customWidth="1"/>
    <col min="4620" max="4620" width="3.109375" style="313" customWidth="1"/>
    <col min="4621" max="4626" width="4.6640625" style="313" customWidth="1"/>
    <col min="4627" max="4627" width="1.6640625" style="313" customWidth="1"/>
    <col min="4628" max="4629" width="9" style="313"/>
    <col min="4630" max="4630" width="18.44140625" style="313" bestFit="1" customWidth="1"/>
    <col min="4631" max="4631" width="29.88671875" style="313" bestFit="1" customWidth="1"/>
    <col min="4632" max="4632" width="30.33203125" style="313" bestFit="1" customWidth="1"/>
    <col min="4633" max="4864" width="9" style="313"/>
    <col min="4865" max="4865" width="1.6640625" style="313" customWidth="1"/>
    <col min="4866" max="4866" width="9.6640625" style="313" customWidth="1"/>
    <col min="4867" max="4867" width="8.6640625" style="313" customWidth="1"/>
    <col min="4868" max="4868" width="5.6640625" style="313" customWidth="1"/>
    <col min="4869" max="4870" width="15.6640625" style="313" customWidth="1"/>
    <col min="4871" max="4871" width="5.6640625" style="313" customWidth="1"/>
    <col min="4872" max="4872" width="16.6640625" style="313" customWidth="1"/>
    <col min="4873" max="4873" width="5.6640625" style="313" customWidth="1"/>
    <col min="4874" max="4874" width="15.6640625" style="313" customWidth="1"/>
    <col min="4875" max="4875" width="5.6640625" style="313" customWidth="1"/>
    <col min="4876" max="4876" width="3.109375" style="313" customWidth="1"/>
    <col min="4877" max="4882" width="4.6640625" style="313" customWidth="1"/>
    <col min="4883" max="4883" width="1.6640625" style="313" customWidth="1"/>
    <col min="4884" max="4885" width="9" style="313"/>
    <col min="4886" max="4886" width="18.44140625" style="313" bestFit="1" customWidth="1"/>
    <col min="4887" max="4887" width="29.88671875" style="313" bestFit="1" customWidth="1"/>
    <col min="4888" max="4888" width="30.33203125" style="313" bestFit="1" customWidth="1"/>
    <col min="4889" max="5120" width="9" style="313"/>
    <col min="5121" max="5121" width="1.6640625" style="313" customWidth="1"/>
    <col min="5122" max="5122" width="9.6640625" style="313" customWidth="1"/>
    <col min="5123" max="5123" width="8.6640625" style="313" customWidth="1"/>
    <col min="5124" max="5124" width="5.6640625" style="313" customWidth="1"/>
    <col min="5125" max="5126" width="15.6640625" style="313" customWidth="1"/>
    <col min="5127" max="5127" width="5.6640625" style="313" customWidth="1"/>
    <col min="5128" max="5128" width="16.6640625" style="313" customWidth="1"/>
    <col min="5129" max="5129" width="5.6640625" style="313" customWidth="1"/>
    <col min="5130" max="5130" width="15.6640625" style="313" customWidth="1"/>
    <col min="5131" max="5131" width="5.6640625" style="313" customWidth="1"/>
    <col min="5132" max="5132" width="3.109375" style="313" customWidth="1"/>
    <col min="5133" max="5138" width="4.6640625" style="313" customWidth="1"/>
    <col min="5139" max="5139" width="1.6640625" style="313" customWidth="1"/>
    <col min="5140" max="5141" width="9" style="313"/>
    <col min="5142" max="5142" width="18.44140625" style="313" bestFit="1" customWidth="1"/>
    <col min="5143" max="5143" width="29.88671875" style="313" bestFit="1" customWidth="1"/>
    <col min="5144" max="5144" width="30.33203125" style="313" bestFit="1" customWidth="1"/>
    <col min="5145" max="5376" width="9" style="313"/>
    <col min="5377" max="5377" width="1.6640625" style="313" customWidth="1"/>
    <col min="5378" max="5378" width="9.6640625" style="313" customWidth="1"/>
    <col min="5379" max="5379" width="8.6640625" style="313" customWidth="1"/>
    <col min="5380" max="5380" width="5.6640625" style="313" customWidth="1"/>
    <col min="5381" max="5382" width="15.6640625" style="313" customWidth="1"/>
    <col min="5383" max="5383" width="5.6640625" style="313" customWidth="1"/>
    <col min="5384" max="5384" width="16.6640625" style="313" customWidth="1"/>
    <col min="5385" max="5385" width="5.6640625" style="313" customWidth="1"/>
    <col min="5386" max="5386" width="15.6640625" style="313" customWidth="1"/>
    <col min="5387" max="5387" width="5.6640625" style="313" customWidth="1"/>
    <col min="5388" max="5388" width="3.109375" style="313" customWidth="1"/>
    <col min="5389" max="5394" width="4.6640625" style="313" customWidth="1"/>
    <col min="5395" max="5395" width="1.6640625" style="313" customWidth="1"/>
    <col min="5396" max="5397" width="9" style="313"/>
    <col min="5398" max="5398" width="18.44140625" style="313" bestFit="1" customWidth="1"/>
    <col min="5399" max="5399" width="29.88671875" style="313" bestFit="1" customWidth="1"/>
    <col min="5400" max="5400" width="30.33203125" style="313" bestFit="1" customWidth="1"/>
    <col min="5401" max="5632" width="9" style="313"/>
    <col min="5633" max="5633" width="1.6640625" style="313" customWidth="1"/>
    <col min="5634" max="5634" width="9.6640625" style="313" customWidth="1"/>
    <col min="5635" max="5635" width="8.6640625" style="313" customWidth="1"/>
    <col min="5636" max="5636" width="5.6640625" style="313" customWidth="1"/>
    <col min="5637" max="5638" width="15.6640625" style="313" customWidth="1"/>
    <col min="5639" max="5639" width="5.6640625" style="313" customWidth="1"/>
    <col min="5640" max="5640" width="16.6640625" style="313" customWidth="1"/>
    <col min="5641" max="5641" width="5.6640625" style="313" customWidth="1"/>
    <col min="5642" max="5642" width="15.6640625" style="313" customWidth="1"/>
    <col min="5643" max="5643" width="5.6640625" style="313" customWidth="1"/>
    <col min="5644" max="5644" width="3.109375" style="313" customWidth="1"/>
    <col min="5645" max="5650" width="4.6640625" style="313" customWidth="1"/>
    <col min="5651" max="5651" width="1.6640625" style="313" customWidth="1"/>
    <col min="5652" max="5653" width="9" style="313"/>
    <col min="5654" max="5654" width="18.44140625" style="313" bestFit="1" customWidth="1"/>
    <col min="5655" max="5655" width="29.88671875" style="313" bestFit="1" customWidth="1"/>
    <col min="5656" max="5656" width="30.33203125" style="313" bestFit="1" customWidth="1"/>
    <col min="5657" max="5888" width="9" style="313"/>
    <col min="5889" max="5889" width="1.6640625" style="313" customWidth="1"/>
    <col min="5890" max="5890" width="9.6640625" style="313" customWidth="1"/>
    <col min="5891" max="5891" width="8.6640625" style="313" customWidth="1"/>
    <col min="5892" max="5892" width="5.6640625" style="313" customWidth="1"/>
    <col min="5893" max="5894" width="15.6640625" style="313" customWidth="1"/>
    <col min="5895" max="5895" width="5.6640625" style="313" customWidth="1"/>
    <col min="5896" max="5896" width="16.6640625" style="313" customWidth="1"/>
    <col min="5897" max="5897" width="5.6640625" style="313" customWidth="1"/>
    <col min="5898" max="5898" width="15.6640625" style="313" customWidth="1"/>
    <col min="5899" max="5899" width="5.6640625" style="313" customWidth="1"/>
    <col min="5900" max="5900" width="3.109375" style="313" customWidth="1"/>
    <col min="5901" max="5906" width="4.6640625" style="313" customWidth="1"/>
    <col min="5907" max="5907" width="1.6640625" style="313" customWidth="1"/>
    <col min="5908" max="5909" width="9" style="313"/>
    <col min="5910" max="5910" width="18.44140625" style="313" bestFit="1" customWidth="1"/>
    <col min="5911" max="5911" width="29.88671875" style="313" bestFit="1" customWidth="1"/>
    <col min="5912" max="5912" width="30.33203125" style="313" bestFit="1" customWidth="1"/>
    <col min="5913" max="6144" width="9" style="313"/>
    <col min="6145" max="6145" width="1.6640625" style="313" customWidth="1"/>
    <col min="6146" max="6146" width="9.6640625" style="313" customWidth="1"/>
    <col min="6147" max="6147" width="8.6640625" style="313" customWidth="1"/>
    <col min="6148" max="6148" width="5.6640625" style="313" customWidth="1"/>
    <col min="6149" max="6150" width="15.6640625" style="313" customWidth="1"/>
    <col min="6151" max="6151" width="5.6640625" style="313" customWidth="1"/>
    <col min="6152" max="6152" width="16.6640625" style="313" customWidth="1"/>
    <col min="6153" max="6153" width="5.6640625" style="313" customWidth="1"/>
    <col min="6154" max="6154" width="15.6640625" style="313" customWidth="1"/>
    <col min="6155" max="6155" width="5.6640625" style="313" customWidth="1"/>
    <col min="6156" max="6156" width="3.109375" style="313" customWidth="1"/>
    <col min="6157" max="6162" width="4.6640625" style="313" customWidth="1"/>
    <col min="6163" max="6163" width="1.6640625" style="313" customWidth="1"/>
    <col min="6164" max="6165" width="9" style="313"/>
    <col min="6166" max="6166" width="18.44140625" style="313" bestFit="1" customWidth="1"/>
    <col min="6167" max="6167" width="29.88671875" style="313" bestFit="1" customWidth="1"/>
    <col min="6168" max="6168" width="30.33203125" style="313" bestFit="1" customWidth="1"/>
    <col min="6169" max="6400" width="9" style="313"/>
    <col min="6401" max="6401" width="1.6640625" style="313" customWidth="1"/>
    <col min="6402" max="6402" width="9.6640625" style="313" customWidth="1"/>
    <col min="6403" max="6403" width="8.6640625" style="313" customWidth="1"/>
    <col min="6404" max="6404" width="5.6640625" style="313" customWidth="1"/>
    <col min="6405" max="6406" width="15.6640625" style="313" customWidth="1"/>
    <col min="6407" max="6407" width="5.6640625" style="313" customWidth="1"/>
    <col min="6408" max="6408" width="16.6640625" style="313" customWidth="1"/>
    <col min="6409" max="6409" width="5.6640625" style="313" customWidth="1"/>
    <col min="6410" max="6410" width="15.6640625" style="313" customWidth="1"/>
    <col min="6411" max="6411" width="5.6640625" style="313" customWidth="1"/>
    <col min="6412" max="6412" width="3.109375" style="313" customWidth="1"/>
    <col min="6413" max="6418" width="4.6640625" style="313" customWidth="1"/>
    <col min="6419" max="6419" width="1.6640625" style="313" customWidth="1"/>
    <col min="6420" max="6421" width="9" style="313"/>
    <col min="6422" max="6422" width="18.44140625" style="313" bestFit="1" customWidth="1"/>
    <col min="6423" max="6423" width="29.88671875" style="313" bestFit="1" customWidth="1"/>
    <col min="6424" max="6424" width="30.33203125" style="313" bestFit="1" customWidth="1"/>
    <col min="6425" max="6656" width="9" style="313"/>
    <col min="6657" max="6657" width="1.6640625" style="313" customWidth="1"/>
    <col min="6658" max="6658" width="9.6640625" style="313" customWidth="1"/>
    <col min="6659" max="6659" width="8.6640625" style="313" customWidth="1"/>
    <col min="6660" max="6660" width="5.6640625" style="313" customWidth="1"/>
    <col min="6661" max="6662" width="15.6640625" style="313" customWidth="1"/>
    <col min="6663" max="6663" width="5.6640625" style="313" customWidth="1"/>
    <col min="6664" max="6664" width="16.6640625" style="313" customWidth="1"/>
    <col min="6665" max="6665" width="5.6640625" style="313" customWidth="1"/>
    <col min="6666" max="6666" width="15.6640625" style="313" customWidth="1"/>
    <col min="6667" max="6667" width="5.6640625" style="313" customWidth="1"/>
    <col min="6668" max="6668" width="3.109375" style="313" customWidth="1"/>
    <col min="6669" max="6674" width="4.6640625" style="313" customWidth="1"/>
    <col min="6675" max="6675" width="1.6640625" style="313" customWidth="1"/>
    <col min="6676" max="6677" width="9" style="313"/>
    <col min="6678" max="6678" width="18.44140625" style="313" bestFit="1" customWidth="1"/>
    <col min="6679" max="6679" width="29.88671875" style="313" bestFit="1" customWidth="1"/>
    <col min="6680" max="6680" width="30.33203125" style="313" bestFit="1" customWidth="1"/>
    <col min="6681" max="6912" width="9" style="313"/>
    <col min="6913" max="6913" width="1.6640625" style="313" customWidth="1"/>
    <col min="6914" max="6914" width="9.6640625" style="313" customWidth="1"/>
    <col min="6915" max="6915" width="8.6640625" style="313" customWidth="1"/>
    <col min="6916" max="6916" width="5.6640625" style="313" customWidth="1"/>
    <col min="6917" max="6918" width="15.6640625" style="313" customWidth="1"/>
    <col min="6919" max="6919" width="5.6640625" style="313" customWidth="1"/>
    <col min="6920" max="6920" width="16.6640625" style="313" customWidth="1"/>
    <col min="6921" max="6921" width="5.6640625" style="313" customWidth="1"/>
    <col min="6922" max="6922" width="15.6640625" style="313" customWidth="1"/>
    <col min="6923" max="6923" width="5.6640625" style="313" customWidth="1"/>
    <col min="6924" max="6924" width="3.109375" style="313" customWidth="1"/>
    <col min="6925" max="6930" width="4.6640625" style="313" customWidth="1"/>
    <col min="6931" max="6931" width="1.6640625" style="313" customWidth="1"/>
    <col min="6932" max="6933" width="9" style="313"/>
    <col min="6934" max="6934" width="18.44140625" style="313" bestFit="1" customWidth="1"/>
    <col min="6935" max="6935" width="29.88671875" style="313" bestFit="1" customWidth="1"/>
    <col min="6936" max="6936" width="30.33203125" style="313" bestFit="1" customWidth="1"/>
    <col min="6937" max="7168" width="9" style="313"/>
    <col min="7169" max="7169" width="1.6640625" style="313" customWidth="1"/>
    <col min="7170" max="7170" width="9.6640625" style="313" customWidth="1"/>
    <col min="7171" max="7171" width="8.6640625" style="313" customWidth="1"/>
    <col min="7172" max="7172" width="5.6640625" style="313" customWidth="1"/>
    <col min="7173" max="7174" width="15.6640625" style="313" customWidth="1"/>
    <col min="7175" max="7175" width="5.6640625" style="313" customWidth="1"/>
    <col min="7176" max="7176" width="16.6640625" style="313" customWidth="1"/>
    <col min="7177" max="7177" width="5.6640625" style="313" customWidth="1"/>
    <col min="7178" max="7178" width="15.6640625" style="313" customWidth="1"/>
    <col min="7179" max="7179" width="5.6640625" style="313" customWidth="1"/>
    <col min="7180" max="7180" width="3.109375" style="313" customWidth="1"/>
    <col min="7181" max="7186" width="4.6640625" style="313" customWidth="1"/>
    <col min="7187" max="7187" width="1.6640625" style="313" customWidth="1"/>
    <col min="7188" max="7189" width="9" style="313"/>
    <col min="7190" max="7190" width="18.44140625" style="313" bestFit="1" customWidth="1"/>
    <col min="7191" max="7191" width="29.88671875" style="313" bestFit="1" customWidth="1"/>
    <col min="7192" max="7192" width="30.33203125" style="313" bestFit="1" customWidth="1"/>
    <col min="7193" max="7424" width="9" style="313"/>
    <col min="7425" max="7425" width="1.6640625" style="313" customWidth="1"/>
    <col min="7426" max="7426" width="9.6640625" style="313" customWidth="1"/>
    <col min="7427" max="7427" width="8.6640625" style="313" customWidth="1"/>
    <col min="7428" max="7428" width="5.6640625" style="313" customWidth="1"/>
    <col min="7429" max="7430" width="15.6640625" style="313" customWidth="1"/>
    <col min="7431" max="7431" width="5.6640625" style="313" customWidth="1"/>
    <col min="7432" max="7432" width="16.6640625" style="313" customWidth="1"/>
    <col min="7433" max="7433" width="5.6640625" style="313" customWidth="1"/>
    <col min="7434" max="7434" width="15.6640625" style="313" customWidth="1"/>
    <col min="7435" max="7435" width="5.6640625" style="313" customWidth="1"/>
    <col min="7436" max="7436" width="3.109375" style="313" customWidth="1"/>
    <col min="7437" max="7442" width="4.6640625" style="313" customWidth="1"/>
    <col min="7443" max="7443" width="1.6640625" style="313" customWidth="1"/>
    <col min="7444" max="7445" width="9" style="313"/>
    <col min="7446" max="7446" width="18.44140625" style="313" bestFit="1" customWidth="1"/>
    <col min="7447" max="7447" width="29.88671875" style="313" bestFit="1" customWidth="1"/>
    <col min="7448" max="7448" width="30.33203125" style="313" bestFit="1" customWidth="1"/>
    <col min="7449" max="7680" width="9" style="313"/>
    <col min="7681" max="7681" width="1.6640625" style="313" customWidth="1"/>
    <col min="7682" max="7682" width="9.6640625" style="313" customWidth="1"/>
    <col min="7683" max="7683" width="8.6640625" style="313" customWidth="1"/>
    <col min="7684" max="7684" width="5.6640625" style="313" customWidth="1"/>
    <col min="7685" max="7686" width="15.6640625" style="313" customWidth="1"/>
    <col min="7687" max="7687" width="5.6640625" style="313" customWidth="1"/>
    <col min="7688" max="7688" width="16.6640625" style="313" customWidth="1"/>
    <col min="7689" max="7689" width="5.6640625" style="313" customWidth="1"/>
    <col min="7690" max="7690" width="15.6640625" style="313" customWidth="1"/>
    <col min="7691" max="7691" width="5.6640625" style="313" customWidth="1"/>
    <col min="7692" max="7692" width="3.109375" style="313" customWidth="1"/>
    <col min="7693" max="7698" width="4.6640625" style="313" customWidth="1"/>
    <col min="7699" max="7699" width="1.6640625" style="313" customWidth="1"/>
    <col min="7700" max="7701" width="9" style="313"/>
    <col min="7702" max="7702" width="18.44140625" style="313" bestFit="1" customWidth="1"/>
    <col min="7703" max="7703" width="29.88671875" style="313" bestFit="1" customWidth="1"/>
    <col min="7704" max="7704" width="30.33203125" style="313" bestFit="1" customWidth="1"/>
    <col min="7705" max="7936" width="9" style="313"/>
    <col min="7937" max="7937" width="1.6640625" style="313" customWidth="1"/>
    <col min="7938" max="7938" width="9.6640625" style="313" customWidth="1"/>
    <col min="7939" max="7939" width="8.6640625" style="313" customWidth="1"/>
    <col min="7940" max="7940" width="5.6640625" style="313" customWidth="1"/>
    <col min="7941" max="7942" width="15.6640625" style="313" customWidth="1"/>
    <col min="7943" max="7943" width="5.6640625" style="313" customWidth="1"/>
    <col min="7944" max="7944" width="16.6640625" style="313" customWidth="1"/>
    <col min="7945" max="7945" width="5.6640625" style="313" customWidth="1"/>
    <col min="7946" max="7946" width="15.6640625" style="313" customWidth="1"/>
    <col min="7947" max="7947" width="5.6640625" style="313" customWidth="1"/>
    <col min="7948" max="7948" width="3.109375" style="313" customWidth="1"/>
    <col min="7949" max="7954" width="4.6640625" style="313" customWidth="1"/>
    <col min="7955" max="7955" width="1.6640625" style="313" customWidth="1"/>
    <col min="7956" max="7957" width="9" style="313"/>
    <col min="7958" max="7958" width="18.44140625" style="313" bestFit="1" customWidth="1"/>
    <col min="7959" max="7959" width="29.88671875" style="313" bestFit="1" customWidth="1"/>
    <col min="7960" max="7960" width="30.33203125" style="313" bestFit="1" customWidth="1"/>
    <col min="7961" max="8192" width="9" style="313"/>
    <col min="8193" max="8193" width="1.6640625" style="313" customWidth="1"/>
    <col min="8194" max="8194" width="9.6640625" style="313" customWidth="1"/>
    <col min="8195" max="8195" width="8.6640625" style="313" customWidth="1"/>
    <col min="8196" max="8196" width="5.6640625" style="313" customWidth="1"/>
    <col min="8197" max="8198" width="15.6640625" style="313" customWidth="1"/>
    <col min="8199" max="8199" width="5.6640625" style="313" customWidth="1"/>
    <col min="8200" max="8200" width="16.6640625" style="313" customWidth="1"/>
    <col min="8201" max="8201" width="5.6640625" style="313" customWidth="1"/>
    <col min="8202" max="8202" width="15.6640625" style="313" customWidth="1"/>
    <col min="8203" max="8203" width="5.6640625" style="313" customWidth="1"/>
    <col min="8204" max="8204" width="3.109375" style="313" customWidth="1"/>
    <col min="8205" max="8210" width="4.6640625" style="313" customWidth="1"/>
    <col min="8211" max="8211" width="1.6640625" style="313" customWidth="1"/>
    <col min="8212" max="8213" width="9" style="313"/>
    <col min="8214" max="8214" width="18.44140625" style="313" bestFit="1" customWidth="1"/>
    <col min="8215" max="8215" width="29.88671875" style="313" bestFit="1" customWidth="1"/>
    <col min="8216" max="8216" width="30.33203125" style="313" bestFit="1" customWidth="1"/>
    <col min="8217" max="8448" width="9" style="313"/>
    <col min="8449" max="8449" width="1.6640625" style="313" customWidth="1"/>
    <col min="8450" max="8450" width="9.6640625" style="313" customWidth="1"/>
    <col min="8451" max="8451" width="8.6640625" style="313" customWidth="1"/>
    <col min="8452" max="8452" width="5.6640625" style="313" customWidth="1"/>
    <col min="8453" max="8454" width="15.6640625" style="313" customWidth="1"/>
    <col min="8455" max="8455" width="5.6640625" style="313" customWidth="1"/>
    <col min="8456" max="8456" width="16.6640625" style="313" customWidth="1"/>
    <col min="8457" max="8457" width="5.6640625" style="313" customWidth="1"/>
    <col min="8458" max="8458" width="15.6640625" style="313" customWidth="1"/>
    <col min="8459" max="8459" width="5.6640625" style="313" customWidth="1"/>
    <col min="8460" max="8460" width="3.109375" style="313" customWidth="1"/>
    <col min="8461" max="8466" width="4.6640625" style="313" customWidth="1"/>
    <col min="8467" max="8467" width="1.6640625" style="313" customWidth="1"/>
    <col min="8468" max="8469" width="9" style="313"/>
    <col min="8470" max="8470" width="18.44140625" style="313" bestFit="1" customWidth="1"/>
    <col min="8471" max="8471" width="29.88671875" style="313" bestFit="1" customWidth="1"/>
    <col min="8472" max="8472" width="30.33203125" style="313" bestFit="1" customWidth="1"/>
    <col min="8473" max="8704" width="9" style="313"/>
    <col min="8705" max="8705" width="1.6640625" style="313" customWidth="1"/>
    <col min="8706" max="8706" width="9.6640625" style="313" customWidth="1"/>
    <col min="8707" max="8707" width="8.6640625" style="313" customWidth="1"/>
    <col min="8708" max="8708" width="5.6640625" style="313" customWidth="1"/>
    <col min="8709" max="8710" width="15.6640625" style="313" customWidth="1"/>
    <col min="8711" max="8711" width="5.6640625" style="313" customWidth="1"/>
    <col min="8712" max="8712" width="16.6640625" style="313" customWidth="1"/>
    <col min="8713" max="8713" width="5.6640625" style="313" customWidth="1"/>
    <col min="8714" max="8714" width="15.6640625" style="313" customWidth="1"/>
    <col min="8715" max="8715" width="5.6640625" style="313" customWidth="1"/>
    <col min="8716" max="8716" width="3.109375" style="313" customWidth="1"/>
    <col min="8717" max="8722" width="4.6640625" style="313" customWidth="1"/>
    <col min="8723" max="8723" width="1.6640625" style="313" customWidth="1"/>
    <col min="8724" max="8725" width="9" style="313"/>
    <col min="8726" max="8726" width="18.44140625" style="313" bestFit="1" customWidth="1"/>
    <col min="8727" max="8727" width="29.88671875" style="313" bestFit="1" customWidth="1"/>
    <col min="8728" max="8728" width="30.33203125" style="313" bestFit="1" customWidth="1"/>
    <col min="8729" max="8960" width="9" style="313"/>
    <col min="8961" max="8961" width="1.6640625" style="313" customWidth="1"/>
    <col min="8962" max="8962" width="9.6640625" style="313" customWidth="1"/>
    <col min="8963" max="8963" width="8.6640625" style="313" customWidth="1"/>
    <col min="8964" max="8964" width="5.6640625" style="313" customWidth="1"/>
    <col min="8965" max="8966" width="15.6640625" style="313" customWidth="1"/>
    <col min="8967" max="8967" width="5.6640625" style="313" customWidth="1"/>
    <col min="8968" max="8968" width="16.6640625" style="313" customWidth="1"/>
    <col min="8969" max="8969" width="5.6640625" style="313" customWidth="1"/>
    <col min="8970" max="8970" width="15.6640625" style="313" customWidth="1"/>
    <col min="8971" max="8971" width="5.6640625" style="313" customWidth="1"/>
    <col min="8972" max="8972" width="3.109375" style="313" customWidth="1"/>
    <col min="8973" max="8978" width="4.6640625" style="313" customWidth="1"/>
    <col min="8979" max="8979" width="1.6640625" style="313" customWidth="1"/>
    <col min="8980" max="8981" width="9" style="313"/>
    <col min="8982" max="8982" width="18.44140625" style="313" bestFit="1" customWidth="1"/>
    <col min="8983" max="8983" width="29.88671875" style="313" bestFit="1" customWidth="1"/>
    <col min="8984" max="8984" width="30.33203125" style="313" bestFit="1" customWidth="1"/>
    <col min="8985" max="9216" width="9" style="313"/>
    <col min="9217" max="9217" width="1.6640625" style="313" customWidth="1"/>
    <col min="9218" max="9218" width="9.6640625" style="313" customWidth="1"/>
    <col min="9219" max="9219" width="8.6640625" style="313" customWidth="1"/>
    <col min="9220" max="9220" width="5.6640625" style="313" customWidth="1"/>
    <col min="9221" max="9222" width="15.6640625" style="313" customWidth="1"/>
    <col min="9223" max="9223" width="5.6640625" style="313" customWidth="1"/>
    <col min="9224" max="9224" width="16.6640625" style="313" customWidth="1"/>
    <col min="9225" max="9225" width="5.6640625" style="313" customWidth="1"/>
    <col min="9226" max="9226" width="15.6640625" style="313" customWidth="1"/>
    <col min="9227" max="9227" width="5.6640625" style="313" customWidth="1"/>
    <col min="9228" max="9228" width="3.109375" style="313" customWidth="1"/>
    <col min="9229" max="9234" width="4.6640625" style="313" customWidth="1"/>
    <col min="9235" max="9235" width="1.6640625" style="313" customWidth="1"/>
    <col min="9236" max="9237" width="9" style="313"/>
    <col min="9238" max="9238" width="18.44140625" style="313" bestFit="1" customWidth="1"/>
    <col min="9239" max="9239" width="29.88671875" style="313" bestFit="1" customWidth="1"/>
    <col min="9240" max="9240" width="30.33203125" style="313" bestFit="1" customWidth="1"/>
    <col min="9241" max="9472" width="9" style="313"/>
    <col min="9473" max="9473" width="1.6640625" style="313" customWidth="1"/>
    <col min="9474" max="9474" width="9.6640625" style="313" customWidth="1"/>
    <col min="9475" max="9475" width="8.6640625" style="313" customWidth="1"/>
    <col min="9476" max="9476" width="5.6640625" style="313" customWidth="1"/>
    <col min="9477" max="9478" width="15.6640625" style="313" customWidth="1"/>
    <col min="9479" max="9479" width="5.6640625" style="313" customWidth="1"/>
    <col min="9480" max="9480" width="16.6640625" style="313" customWidth="1"/>
    <col min="9481" max="9481" width="5.6640625" style="313" customWidth="1"/>
    <col min="9482" max="9482" width="15.6640625" style="313" customWidth="1"/>
    <col min="9483" max="9483" width="5.6640625" style="313" customWidth="1"/>
    <col min="9484" max="9484" width="3.109375" style="313" customWidth="1"/>
    <col min="9485" max="9490" width="4.6640625" style="313" customWidth="1"/>
    <col min="9491" max="9491" width="1.6640625" style="313" customWidth="1"/>
    <col min="9492" max="9493" width="9" style="313"/>
    <col min="9494" max="9494" width="18.44140625" style="313" bestFit="1" customWidth="1"/>
    <col min="9495" max="9495" width="29.88671875" style="313" bestFit="1" customWidth="1"/>
    <col min="9496" max="9496" width="30.33203125" style="313" bestFit="1" customWidth="1"/>
    <col min="9497" max="9728" width="9" style="313"/>
    <col min="9729" max="9729" width="1.6640625" style="313" customWidth="1"/>
    <col min="9730" max="9730" width="9.6640625" style="313" customWidth="1"/>
    <col min="9731" max="9731" width="8.6640625" style="313" customWidth="1"/>
    <col min="9732" max="9732" width="5.6640625" style="313" customWidth="1"/>
    <col min="9733" max="9734" width="15.6640625" style="313" customWidth="1"/>
    <col min="9735" max="9735" width="5.6640625" style="313" customWidth="1"/>
    <col min="9736" max="9736" width="16.6640625" style="313" customWidth="1"/>
    <col min="9737" max="9737" width="5.6640625" style="313" customWidth="1"/>
    <col min="9738" max="9738" width="15.6640625" style="313" customWidth="1"/>
    <col min="9739" max="9739" width="5.6640625" style="313" customWidth="1"/>
    <col min="9740" max="9740" width="3.109375" style="313" customWidth="1"/>
    <col min="9741" max="9746" width="4.6640625" style="313" customWidth="1"/>
    <col min="9747" max="9747" width="1.6640625" style="313" customWidth="1"/>
    <col min="9748" max="9749" width="9" style="313"/>
    <col min="9750" max="9750" width="18.44140625" style="313" bestFit="1" customWidth="1"/>
    <col min="9751" max="9751" width="29.88671875" style="313" bestFit="1" customWidth="1"/>
    <col min="9752" max="9752" width="30.33203125" style="313" bestFit="1" customWidth="1"/>
    <col min="9753" max="9984" width="9" style="313"/>
    <col min="9985" max="9985" width="1.6640625" style="313" customWidth="1"/>
    <col min="9986" max="9986" width="9.6640625" style="313" customWidth="1"/>
    <col min="9987" max="9987" width="8.6640625" style="313" customWidth="1"/>
    <col min="9988" max="9988" width="5.6640625" style="313" customWidth="1"/>
    <col min="9989" max="9990" width="15.6640625" style="313" customWidth="1"/>
    <col min="9991" max="9991" width="5.6640625" style="313" customWidth="1"/>
    <col min="9992" max="9992" width="16.6640625" style="313" customWidth="1"/>
    <col min="9993" max="9993" width="5.6640625" style="313" customWidth="1"/>
    <col min="9994" max="9994" width="15.6640625" style="313" customWidth="1"/>
    <col min="9995" max="9995" width="5.6640625" style="313" customWidth="1"/>
    <col min="9996" max="9996" width="3.109375" style="313" customWidth="1"/>
    <col min="9997" max="10002" width="4.6640625" style="313" customWidth="1"/>
    <col min="10003" max="10003" width="1.6640625" style="313" customWidth="1"/>
    <col min="10004" max="10005" width="9" style="313"/>
    <col min="10006" max="10006" width="18.44140625" style="313" bestFit="1" customWidth="1"/>
    <col min="10007" max="10007" width="29.88671875" style="313" bestFit="1" customWidth="1"/>
    <col min="10008" max="10008" width="30.33203125" style="313" bestFit="1" customWidth="1"/>
    <col min="10009" max="10240" width="9" style="313"/>
    <col min="10241" max="10241" width="1.6640625" style="313" customWidth="1"/>
    <col min="10242" max="10242" width="9.6640625" style="313" customWidth="1"/>
    <col min="10243" max="10243" width="8.6640625" style="313" customWidth="1"/>
    <col min="10244" max="10244" width="5.6640625" style="313" customWidth="1"/>
    <col min="10245" max="10246" width="15.6640625" style="313" customWidth="1"/>
    <col min="10247" max="10247" width="5.6640625" style="313" customWidth="1"/>
    <col min="10248" max="10248" width="16.6640625" style="313" customWidth="1"/>
    <col min="10249" max="10249" width="5.6640625" style="313" customWidth="1"/>
    <col min="10250" max="10250" width="15.6640625" style="313" customWidth="1"/>
    <col min="10251" max="10251" width="5.6640625" style="313" customWidth="1"/>
    <col min="10252" max="10252" width="3.109375" style="313" customWidth="1"/>
    <col min="10253" max="10258" width="4.6640625" style="313" customWidth="1"/>
    <col min="10259" max="10259" width="1.6640625" style="313" customWidth="1"/>
    <col min="10260" max="10261" width="9" style="313"/>
    <col min="10262" max="10262" width="18.44140625" style="313" bestFit="1" customWidth="1"/>
    <col min="10263" max="10263" width="29.88671875" style="313" bestFit="1" customWidth="1"/>
    <col min="10264" max="10264" width="30.33203125" style="313" bestFit="1" customWidth="1"/>
    <col min="10265" max="10496" width="9" style="313"/>
    <col min="10497" max="10497" width="1.6640625" style="313" customWidth="1"/>
    <col min="10498" max="10498" width="9.6640625" style="313" customWidth="1"/>
    <col min="10499" max="10499" width="8.6640625" style="313" customWidth="1"/>
    <col min="10500" max="10500" width="5.6640625" style="313" customWidth="1"/>
    <col min="10501" max="10502" width="15.6640625" style="313" customWidth="1"/>
    <col min="10503" max="10503" width="5.6640625" style="313" customWidth="1"/>
    <col min="10504" max="10504" width="16.6640625" style="313" customWidth="1"/>
    <col min="10505" max="10505" width="5.6640625" style="313" customWidth="1"/>
    <col min="10506" max="10506" width="15.6640625" style="313" customWidth="1"/>
    <col min="10507" max="10507" width="5.6640625" style="313" customWidth="1"/>
    <col min="10508" max="10508" width="3.109375" style="313" customWidth="1"/>
    <col min="10509" max="10514" width="4.6640625" style="313" customWidth="1"/>
    <col min="10515" max="10515" width="1.6640625" style="313" customWidth="1"/>
    <col min="10516" max="10517" width="9" style="313"/>
    <col min="10518" max="10518" width="18.44140625" style="313" bestFit="1" customWidth="1"/>
    <col min="10519" max="10519" width="29.88671875" style="313" bestFit="1" customWidth="1"/>
    <col min="10520" max="10520" width="30.33203125" style="313" bestFit="1" customWidth="1"/>
    <col min="10521" max="10752" width="9" style="313"/>
    <col min="10753" max="10753" width="1.6640625" style="313" customWidth="1"/>
    <col min="10754" max="10754" width="9.6640625" style="313" customWidth="1"/>
    <col min="10755" max="10755" width="8.6640625" style="313" customWidth="1"/>
    <col min="10756" max="10756" width="5.6640625" style="313" customWidth="1"/>
    <col min="10757" max="10758" width="15.6640625" style="313" customWidth="1"/>
    <col min="10759" max="10759" width="5.6640625" style="313" customWidth="1"/>
    <col min="10760" max="10760" width="16.6640625" style="313" customWidth="1"/>
    <col min="10761" max="10761" width="5.6640625" style="313" customWidth="1"/>
    <col min="10762" max="10762" width="15.6640625" style="313" customWidth="1"/>
    <col min="10763" max="10763" width="5.6640625" style="313" customWidth="1"/>
    <col min="10764" max="10764" width="3.109375" style="313" customWidth="1"/>
    <col min="10765" max="10770" width="4.6640625" style="313" customWidth="1"/>
    <col min="10771" max="10771" width="1.6640625" style="313" customWidth="1"/>
    <col min="10772" max="10773" width="9" style="313"/>
    <col min="10774" max="10774" width="18.44140625" style="313" bestFit="1" customWidth="1"/>
    <col min="10775" max="10775" width="29.88671875" style="313" bestFit="1" customWidth="1"/>
    <col min="10776" max="10776" width="30.33203125" style="313" bestFit="1" customWidth="1"/>
    <col min="10777" max="11008" width="9" style="313"/>
    <col min="11009" max="11009" width="1.6640625" style="313" customWidth="1"/>
    <col min="11010" max="11010" width="9.6640625" style="313" customWidth="1"/>
    <col min="11011" max="11011" width="8.6640625" style="313" customWidth="1"/>
    <col min="11012" max="11012" width="5.6640625" style="313" customWidth="1"/>
    <col min="11013" max="11014" width="15.6640625" style="313" customWidth="1"/>
    <col min="11015" max="11015" width="5.6640625" style="313" customWidth="1"/>
    <col min="11016" max="11016" width="16.6640625" style="313" customWidth="1"/>
    <col min="11017" max="11017" width="5.6640625" style="313" customWidth="1"/>
    <col min="11018" max="11018" width="15.6640625" style="313" customWidth="1"/>
    <col min="11019" max="11019" width="5.6640625" style="313" customWidth="1"/>
    <col min="11020" max="11020" width="3.109375" style="313" customWidth="1"/>
    <col min="11021" max="11026" width="4.6640625" style="313" customWidth="1"/>
    <col min="11027" max="11027" width="1.6640625" style="313" customWidth="1"/>
    <col min="11028" max="11029" width="9" style="313"/>
    <col min="11030" max="11030" width="18.44140625" style="313" bestFit="1" customWidth="1"/>
    <col min="11031" max="11031" width="29.88671875" style="313" bestFit="1" customWidth="1"/>
    <col min="11032" max="11032" width="30.33203125" style="313" bestFit="1" customWidth="1"/>
    <col min="11033" max="11264" width="9" style="313"/>
    <col min="11265" max="11265" width="1.6640625" style="313" customWidth="1"/>
    <col min="11266" max="11266" width="9.6640625" style="313" customWidth="1"/>
    <col min="11267" max="11267" width="8.6640625" style="313" customWidth="1"/>
    <col min="11268" max="11268" width="5.6640625" style="313" customWidth="1"/>
    <col min="11269" max="11270" width="15.6640625" style="313" customWidth="1"/>
    <col min="11271" max="11271" width="5.6640625" style="313" customWidth="1"/>
    <col min="11272" max="11272" width="16.6640625" style="313" customWidth="1"/>
    <col min="11273" max="11273" width="5.6640625" style="313" customWidth="1"/>
    <col min="11274" max="11274" width="15.6640625" style="313" customWidth="1"/>
    <col min="11275" max="11275" width="5.6640625" style="313" customWidth="1"/>
    <col min="11276" max="11276" width="3.109375" style="313" customWidth="1"/>
    <col min="11277" max="11282" width="4.6640625" style="313" customWidth="1"/>
    <col min="11283" max="11283" width="1.6640625" style="313" customWidth="1"/>
    <col min="11284" max="11285" width="9" style="313"/>
    <col min="11286" max="11286" width="18.44140625" style="313" bestFit="1" customWidth="1"/>
    <col min="11287" max="11287" width="29.88671875" style="313" bestFit="1" customWidth="1"/>
    <col min="11288" max="11288" width="30.33203125" style="313" bestFit="1" customWidth="1"/>
    <col min="11289" max="11520" width="9" style="313"/>
    <col min="11521" max="11521" width="1.6640625" style="313" customWidth="1"/>
    <col min="11522" max="11522" width="9.6640625" style="313" customWidth="1"/>
    <col min="11523" max="11523" width="8.6640625" style="313" customWidth="1"/>
    <col min="11524" max="11524" width="5.6640625" style="313" customWidth="1"/>
    <col min="11525" max="11526" width="15.6640625" style="313" customWidth="1"/>
    <col min="11527" max="11527" width="5.6640625" style="313" customWidth="1"/>
    <col min="11528" max="11528" width="16.6640625" style="313" customWidth="1"/>
    <col min="11529" max="11529" width="5.6640625" style="313" customWidth="1"/>
    <col min="11530" max="11530" width="15.6640625" style="313" customWidth="1"/>
    <col min="11531" max="11531" width="5.6640625" style="313" customWidth="1"/>
    <col min="11532" max="11532" width="3.109375" style="313" customWidth="1"/>
    <col min="11533" max="11538" width="4.6640625" style="313" customWidth="1"/>
    <col min="11539" max="11539" width="1.6640625" style="313" customWidth="1"/>
    <col min="11540" max="11541" width="9" style="313"/>
    <col min="11542" max="11542" width="18.44140625" style="313" bestFit="1" customWidth="1"/>
    <col min="11543" max="11543" width="29.88671875" style="313" bestFit="1" customWidth="1"/>
    <col min="11544" max="11544" width="30.33203125" style="313" bestFit="1" customWidth="1"/>
    <col min="11545" max="11776" width="9" style="313"/>
    <col min="11777" max="11777" width="1.6640625" style="313" customWidth="1"/>
    <col min="11778" max="11778" width="9.6640625" style="313" customWidth="1"/>
    <col min="11779" max="11779" width="8.6640625" style="313" customWidth="1"/>
    <col min="11780" max="11780" width="5.6640625" style="313" customWidth="1"/>
    <col min="11781" max="11782" width="15.6640625" style="313" customWidth="1"/>
    <col min="11783" max="11783" width="5.6640625" style="313" customWidth="1"/>
    <col min="11784" max="11784" width="16.6640625" style="313" customWidth="1"/>
    <col min="11785" max="11785" width="5.6640625" style="313" customWidth="1"/>
    <col min="11786" max="11786" width="15.6640625" style="313" customWidth="1"/>
    <col min="11787" max="11787" width="5.6640625" style="313" customWidth="1"/>
    <col min="11788" max="11788" width="3.109375" style="313" customWidth="1"/>
    <col min="11789" max="11794" width="4.6640625" style="313" customWidth="1"/>
    <col min="11795" max="11795" width="1.6640625" style="313" customWidth="1"/>
    <col min="11796" max="11797" width="9" style="313"/>
    <col min="11798" max="11798" width="18.44140625" style="313" bestFit="1" customWidth="1"/>
    <col min="11799" max="11799" width="29.88671875" style="313" bestFit="1" customWidth="1"/>
    <col min="11800" max="11800" width="30.33203125" style="313" bestFit="1" customWidth="1"/>
    <col min="11801" max="12032" width="9" style="313"/>
    <col min="12033" max="12033" width="1.6640625" style="313" customWidth="1"/>
    <col min="12034" max="12034" width="9.6640625" style="313" customWidth="1"/>
    <col min="12035" max="12035" width="8.6640625" style="313" customWidth="1"/>
    <col min="12036" max="12036" width="5.6640625" style="313" customWidth="1"/>
    <col min="12037" max="12038" width="15.6640625" style="313" customWidth="1"/>
    <col min="12039" max="12039" width="5.6640625" style="313" customWidth="1"/>
    <col min="12040" max="12040" width="16.6640625" style="313" customWidth="1"/>
    <col min="12041" max="12041" width="5.6640625" style="313" customWidth="1"/>
    <col min="12042" max="12042" width="15.6640625" style="313" customWidth="1"/>
    <col min="12043" max="12043" width="5.6640625" style="313" customWidth="1"/>
    <col min="12044" max="12044" width="3.109375" style="313" customWidth="1"/>
    <col min="12045" max="12050" width="4.6640625" style="313" customWidth="1"/>
    <col min="12051" max="12051" width="1.6640625" style="313" customWidth="1"/>
    <col min="12052" max="12053" width="9" style="313"/>
    <col min="12054" max="12054" width="18.44140625" style="313" bestFit="1" customWidth="1"/>
    <col min="12055" max="12055" width="29.88671875" style="313" bestFit="1" customWidth="1"/>
    <col min="12056" max="12056" width="30.33203125" style="313" bestFit="1" customWidth="1"/>
    <col min="12057" max="12288" width="9" style="313"/>
    <col min="12289" max="12289" width="1.6640625" style="313" customWidth="1"/>
    <col min="12290" max="12290" width="9.6640625" style="313" customWidth="1"/>
    <col min="12291" max="12291" width="8.6640625" style="313" customWidth="1"/>
    <col min="12292" max="12292" width="5.6640625" style="313" customWidth="1"/>
    <col min="12293" max="12294" width="15.6640625" style="313" customWidth="1"/>
    <col min="12295" max="12295" width="5.6640625" style="313" customWidth="1"/>
    <col min="12296" max="12296" width="16.6640625" style="313" customWidth="1"/>
    <col min="12297" max="12297" width="5.6640625" style="313" customWidth="1"/>
    <col min="12298" max="12298" width="15.6640625" style="313" customWidth="1"/>
    <col min="12299" max="12299" width="5.6640625" style="313" customWidth="1"/>
    <col min="12300" max="12300" width="3.109375" style="313" customWidth="1"/>
    <col min="12301" max="12306" width="4.6640625" style="313" customWidth="1"/>
    <col min="12307" max="12307" width="1.6640625" style="313" customWidth="1"/>
    <col min="12308" max="12309" width="9" style="313"/>
    <col min="12310" max="12310" width="18.44140625" style="313" bestFit="1" customWidth="1"/>
    <col min="12311" max="12311" width="29.88671875" style="313" bestFit="1" customWidth="1"/>
    <col min="12312" max="12312" width="30.33203125" style="313" bestFit="1" customWidth="1"/>
    <col min="12313" max="12544" width="9" style="313"/>
    <col min="12545" max="12545" width="1.6640625" style="313" customWidth="1"/>
    <col min="12546" max="12546" width="9.6640625" style="313" customWidth="1"/>
    <col min="12547" max="12547" width="8.6640625" style="313" customWidth="1"/>
    <col min="12548" max="12548" width="5.6640625" style="313" customWidth="1"/>
    <col min="12549" max="12550" width="15.6640625" style="313" customWidth="1"/>
    <col min="12551" max="12551" width="5.6640625" style="313" customWidth="1"/>
    <col min="12552" max="12552" width="16.6640625" style="313" customWidth="1"/>
    <col min="12553" max="12553" width="5.6640625" style="313" customWidth="1"/>
    <col min="12554" max="12554" width="15.6640625" style="313" customWidth="1"/>
    <col min="12555" max="12555" width="5.6640625" style="313" customWidth="1"/>
    <col min="12556" max="12556" width="3.109375" style="313" customWidth="1"/>
    <col min="12557" max="12562" width="4.6640625" style="313" customWidth="1"/>
    <col min="12563" max="12563" width="1.6640625" style="313" customWidth="1"/>
    <col min="12564" max="12565" width="9" style="313"/>
    <col min="12566" max="12566" width="18.44140625" style="313" bestFit="1" customWidth="1"/>
    <col min="12567" max="12567" width="29.88671875" style="313" bestFit="1" customWidth="1"/>
    <col min="12568" max="12568" width="30.33203125" style="313" bestFit="1" customWidth="1"/>
    <col min="12569" max="12800" width="9" style="313"/>
    <col min="12801" max="12801" width="1.6640625" style="313" customWidth="1"/>
    <col min="12802" max="12802" width="9.6640625" style="313" customWidth="1"/>
    <col min="12803" max="12803" width="8.6640625" style="313" customWidth="1"/>
    <col min="12804" max="12804" width="5.6640625" style="313" customWidth="1"/>
    <col min="12805" max="12806" width="15.6640625" style="313" customWidth="1"/>
    <col min="12807" max="12807" width="5.6640625" style="313" customWidth="1"/>
    <col min="12808" max="12808" width="16.6640625" style="313" customWidth="1"/>
    <col min="12809" max="12809" width="5.6640625" style="313" customWidth="1"/>
    <col min="12810" max="12810" width="15.6640625" style="313" customWidth="1"/>
    <col min="12811" max="12811" width="5.6640625" style="313" customWidth="1"/>
    <col min="12812" max="12812" width="3.109375" style="313" customWidth="1"/>
    <col min="12813" max="12818" width="4.6640625" style="313" customWidth="1"/>
    <col min="12819" max="12819" width="1.6640625" style="313" customWidth="1"/>
    <col min="12820" max="12821" width="9" style="313"/>
    <col min="12822" max="12822" width="18.44140625" style="313" bestFit="1" customWidth="1"/>
    <col min="12823" max="12823" width="29.88671875" style="313" bestFit="1" customWidth="1"/>
    <col min="12824" max="12824" width="30.33203125" style="313" bestFit="1" customWidth="1"/>
    <col min="12825" max="13056" width="9" style="313"/>
    <col min="13057" max="13057" width="1.6640625" style="313" customWidth="1"/>
    <col min="13058" max="13058" width="9.6640625" style="313" customWidth="1"/>
    <col min="13059" max="13059" width="8.6640625" style="313" customWidth="1"/>
    <col min="13060" max="13060" width="5.6640625" style="313" customWidth="1"/>
    <col min="13061" max="13062" width="15.6640625" style="313" customWidth="1"/>
    <col min="13063" max="13063" width="5.6640625" style="313" customWidth="1"/>
    <col min="13064" max="13064" width="16.6640625" style="313" customWidth="1"/>
    <col min="13065" max="13065" width="5.6640625" style="313" customWidth="1"/>
    <col min="13066" max="13066" width="15.6640625" style="313" customWidth="1"/>
    <col min="13067" max="13067" width="5.6640625" style="313" customWidth="1"/>
    <col min="13068" max="13068" width="3.109375" style="313" customWidth="1"/>
    <col min="13069" max="13074" width="4.6640625" style="313" customWidth="1"/>
    <col min="13075" max="13075" width="1.6640625" style="313" customWidth="1"/>
    <col min="13076" max="13077" width="9" style="313"/>
    <col min="13078" max="13078" width="18.44140625" style="313" bestFit="1" customWidth="1"/>
    <col min="13079" max="13079" width="29.88671875" style="313" bestFit="1" customWidth="1"/>
    <col min="13080" max="13080" width="30.33203125" style="313" bestFit="1" customWidth="1"/>
    <col min="13081" max="13312" width="9" style="313"/>
    <col min="13313" max="13313" width="1.6640625" style="313" customWidth="1"/>
    <col min="13314" max="13314" width="9.6640625" style="313" customWidth="1"/>
    <col min="13315" max="13315" width="8.6640625" style="313" customWidth="1"/>
    <col min="13316" max="13316" width="5.6640625" style="313" customWidth="1"/>
    <col min="13317" max="13318" width="15.6640625" style="313" customWidth="1"/>
    <col min="13319" max="13319" width="5.6640625" style="313" customWidth="1"/>
    <col min="13320" max="13320" width="16.6640625" style="313" customWidth="1"/>
    <col min="13321" max="13321" width="5.6640625" style="313" customWidth="1"/>
    <col min="13322" max="13322" width="15.6640625" style="313" customWidth="1"/>
    <col min="13323" max="13323" width="5.6640625" style="313" customWidth="1"/>
    <col min="13324" max="13324" width="3.109375" style="313" customWidth="1"/>
    <col min="13325" max="13330" width="4.6640625" style="313" customWidth="1"/>
    <col min="13331" max="13331" width="1.6640625" style="313" customWidth="1"/>
    <col min="13332" max="13333" width="9" style="313"/>
    <col min="13334" max="13334" width="18.44140625" style="313" bestFit="1" customWidth="1"/>
    <col min="13335" max="13335" width="29.88671875" style="313" bestFit="1" customWidth="1"/>
    <col min="13336" max="13336" width="30.33203125" style="313" bestFit="1" customWidth="1"/>
    <col min="13337" max="13568" width="9" style="313"/>
    <col min="13569" max="13569" width="1.6640625" style="313" customWidth="1"/>
    <col min="13570" max="13570" width="9.6640625" style="313" customWidth="1"/>
    <col min="13571" max="13571" width="8.6640625" style="313" customWidth="1"/>
    <col min="13572" max="13572" width="5.6640625" style="313" customWidth="1"/>
    <col min="13573" max="13574" width="15.6640625" style="313" customWidth="1"/>
    <col min="13575" max="13575" width="5.6640625" style="313" customWidth="1"/>
    <col min="13576" max="13576" width="16.6640625" style="313" customWidth="1"/>
    <col min="13577" max="13577" width="5.6640625" style="313" customWidth="1"/>
    <col min="13578" max="13578" width="15.6640625" style="313" customWidth="1"/>
    <col min="13579" max="13579" width="5.6640625" style="313" customWidth="1"/>
    <col min="13580" max="13580" width="3.109375" style="313" customWidth="1"/>
    <col min="13581" max="13586" width="4.6640625" style="313" customWidth="1"/>
    <col min="13587" max="13587" width="1.6640625" style="313" customWidth="1"/>
    <col min="13588" max="13589" width="9" style="313"/>
    <col min="13590" max="13590" width="18.44140625" style="313" bestFit="1" customWidth="1"/>
    <col min="13591" max="13591" width="29.88671875" style="313" bestFit="1" customWidth="1"/>
    <col min="13592" max="13592" width="30.33203125" style="313" bestFit="1" customWidth="1"/>
    <col min="13593" max="13824" width="9" style="313"/>
    <col min="13825" max="13825" width="1.6640625" style="313" customWidth="1"/>
    <col min="13826" max="13826" width="9.6640625" style="313" customWidth="1"/>
    <col min="13827" max="13827" width="8.6640625" style="313" customWidth="1"/>
    <col min="13828" max="13828" width="5.6640625" style="313" customWidth="1"/>
    <col min="13829" max="13830" width="15.6640625" style="313" customWidth="1"/>
    <col min="13831" max="13831" width="5.6640625" style="313" customWidth="1"/>
    <col min="13832" max="13832" width="16.6640625" style="313" customWidth="1"/>
    <col min="13833" max="13833" width="5.6640625" style="313" customWidth="1"/>
    <col min="13834" max="13834" width="15.6640625" style="313" customWidth="1"/>
    <col min="13835" max="13835" width="5.6640625" style="313" customWidth="1"/>
    <col min="13836" max="13836" width="3.109375" style="313" customWidth="1"/>
    <col min="13837" max="13842" width="4.6640625" style="313" customWidth="1"/>
    <col min="13843" max="13843" width="1.6640625" style="313" customWidth="1"/>
    <col min="13844" max="13845" width="9" style="313"/>
    <col min="13846" max="13846" width="18.44140625" style="313" bestFit="1" customWidth="1"/>
    <col min="13847" max="13847" width="29.88671875" style="313" bestFit="1" customWidth="1"/>
    <col min="13848" max="13848" width="30.33203125" style="313" bestFit="1" customWidth="1"/>
    <col min="13849" max="14080" width="9" style="313"/>
    <col min="14081" max="14081" width="1.6640625" style="313" customWidth="1"/>
    <col min="14082" max="14082" width="9.6640625" style="313" customWidth="1"/>
    <col min="14083" max="14083" width="8.6640625" style="313" customWidth="1"/>
    <col min="14084" max="14084" width="5.6640625" style="313" customWidth="1"/>
    <col min="14085" max="14086" width="15.6640625" style="313" customWidth="1"/>
    <col min="14087" max="14087" width="5.6640625" style="313" customWidth="1"/>
    <col min="14088" max="14088" width="16.6640625" style="313" customWidth="1"/>
    <col min="14089" max="14089" width="5.6640625" style="313" customWidth="1"/>
    <col min="14090" max="14090" width="15.6640625" style="313" customWidth="1"/>
    <col min="14091" max="14091" width="5.6640625" style="313" customWidth="1"/>
    <col min="14092" max="14092" width="3.109375" style="313" customWidth="1"/>
    <col min="14093" max="14098" width="4.6640625" style="313" customWidth="1"/>
    <col min="14099" max="14099" width="1.6640625" style="313" customWidth="1"/>
    <col min="14100" max="14101" width="9" style="313"/>
    <col min="14102" max="14102" width="18.44140625" style="313" bestFit="1" customWidth="1"/>
    <col min="14103" max="14103" width="29.88671875" style="313" bestFit="1" customWidth="1"/>
    <col min="14104" max="14104" width="30.33203125" style="313" bestFit="1" customWidth="1"/>
    <col min="14105" max="14336" width="9" style="313"/>
    <col min="14337" max="14337" width="1.6640625" style="313" customWidth="1"/>
    <col min="14338" max="14338" width="9.6640625" style="313" customWidth="1"/>
    <col min="14339" max="14339" width="8.6640625" style="313" customWidth="1"/>
    <col min="14340" max="14340" width="5.6640625" style="313" customWidth="1"/>
    <col min="14341" max="14342" width="15.6640625" style="313" customWidth="1"/>
    <col min="14343" max="14343" width="5.6640625" style="313" customWidth="1"/>
    <col min="14344" max="14344" width="16.6640625" style="313" customWidth="1"/>
    <col min="14345" max="14345" width="5.6640625" style="313" customWidth="1"/>
    <col min="14346" max="14346" width="15.6640625" style="313" customWidth="1"/>
    <col min="14347" max="14347" width="5.6640625" style="313" customWidth="1"/>
    <col min="14348" max="14348" width="3.109375" style="313" customWidth="1"/>
    <col min="14349" max="14354" width="4.6640625" style="313" customWidth="1"/>
    <col min="14355" max="14355" width="1.6640625" style="313" customWidth="1"/>
    <col min="14356" max="14357" width="9" style="313"/>
    <col min="14358" max="14358" width="18.44140625" style="313" bestFit="1" customWidth="1"/>
    <col min="14359" max="14359" width="29.88671875" style="313" bestFit="1" customWidth="1"/>
    <col min="14360" max="14360" width="30.33203125" style="313" bestFit="1" customWidth="1"/>
    <col min="14361" max="14592" width="9" style="313"/>
    <col min="14593" max="14593" width="1.6640625" style="313" customWidth="1"/>
    <col min="14594" max="14594" width="9.6640625" style="313" customWidth="1"/>
    <col min="14595" max="14595" width="8.6640625" style="313" customWidth="1"/>
    <col min="14596" max="14596" width="5.6640625" style="313" customWidth="1"/>
    <col min="14597" max="14598" width="15.6640625" style="313" customWidth="1"/>
    <col min="14599" max="14599" width="5.6640625" style="313" customWidth="1"/>
    <col min="14600" max="14600" width="16.6640625" style="313" customWidth="1"/>
    <col min="14601" max="14601" width="5.6640625" style="313" customWidth="1"/>
    <col min="14602" max="14602" width="15.6640625" style="313" customWidth="1"/>
    <col min="14603" max="14603" width="5.6640625" style="313" customWidth="1"/>
    <col min="14604" max="14604" width="3.109375" style="313" customWidth="1"/>
    <col min="14605" max="14610" width="4.6640625" style="313" customWidth="1"/>
    <col min="14611" max="14611" width="1.6640625" style="313" customWidth="1"/>
    <col min="14612" max="14613" width="9" style="313"/>
    <col min="14614" max="14614" width="18.44140625" style="313" bestFit="1" customWidth="1"/>
    <col min="14615" max="14615" width="29.88671875" style="313" bestFit="1" customWidth="1"/>
    <col min="14616" max="14616" width="30.33203125" style="313" bestFit="1" customWidth="1"/>
    <col min="14617" max="14848" width="9" style="313"/>
    <col min="14849" max="14849" width="1.6640625" style="313" customWidth="1"/>
    <col min="14850" max="14850" width="9.6640625" style="313" customWidth="1"/>
    <col min="14851" max="14851" width="8.6640625" style="313" customWidth="1"/>
    <col min="14852" max="14852" width="5.6640625" style="313" customWidth="1"/>
    <col min="14853" max="14854" width="15.6640625" style="313" customWidth="1"/>
    <col min="14855" max="14855" width="5.6640625" style="313" customWidth="1"/>
    <col min="14856" max="14856" width="16.6640625" style="313" customWidth="1"/>
    <col min="14857" max="14857" width="5.6640625" style="313" customWidth="1"/>
    <col min="14858" max="14858" width="15.6640625" style="313" customWidth="1"/>
    <col min="14859" max="14859" width="5.6640625" style="313" customWidth="1"/>
    <col min="14860" max="14860" width="3.109375" style="313" customWidth="1"/>
    <col min="14861" max="14866" width="4.6640625" style="313" customWidth="1"/>
    <col min="14867" max="14867" width="1.6640625" style="313" customWidth="1"/>
    <col min="14868" max="14869" width="9" style="313"/>
    <col min="14870" max="14870" width="18.44140625" style="313" bestFit="1" customWidth="1"/>
    <col min="14871" max="14871" width="29.88671875" style="313" bestFit="1" customWidth="1"/>
    <col min="14872" max="14872" width="30.33203125" style="313" bestFit="1" customWidth="1"/>
    <col min="14873" max="15104" width="9" style="313"/>
    <col min="15105" max="15105" width="1.6640625" style="313" customWidth="1"/>
    <col min="15106" max="15106" width="9.6640625" style="313" customWidth="1"/>
    <col min="15107" max="15107" width="8.6640625" style="313" customWidth="1"/>
    <col min="15108" max="15108" width="5.6640625" style="313" customWidth="1"/>
    <col min="15109" max="15110" width="15.6640625" style="313" customWidth="1"/>
    <col min="15111" max="15111" width="5.6640625" style="313" customWidth="1"/>
    <col min="15112" max="15112" width="16.6640625" style="313" customWidth="1"/>
    <col min="15113" max="15113" width="5.6640625" style="313" customWidth="1"/>
    <col min="15114" max="15114" width="15.6640625" style="313" customWidth="1"/>
    <col min="15115" max="15115" width="5.6640625" style="313" customWidth="1"/>
    <col min="15116" max="15116" width="3.109375" style="313" customWidth="1"/>
    <col min="15117" max="15122" width="4.6640625" style="313" customWidth="1"/>
    <col min="15123" max="15123" width="1.6640625" style="313" customWidth="1"/>
    <col min="15124" max="15125" width="9" style="313"/>
    <col min="15126" max="15126" width="18.44140625" style="313" bestFit="1" customWidth="1"/>
    <col min="15127" max="15127" width="29.88671875" style="313" bestFit="1" customWidth="1"/>
    <col min="15128" max="15128" width="30.33203125" style="313" bestFit="1" customWidth="1"/>
    <col min="15129" max="15360" width="9" style="313"/>
    <col min="15361" max="15361" width="1.6640625" style="313" customWidth="1"/>
    <col min="15362" max="15362" width="9.6640625" style="313" customWidth="1"/>
    <col min="15363" max="15363" width="8.6640625" style="313" customWidth="1"/>
    <col min="15364" max="15364" width="5.6640625" style="313" customWidth="1"/>
    <col min="15365" max="15366" width="15.6640625" style="313" customWidth="1"/>
    <col min="15367" max="15367" width="5.6640625" style="313" customWidth="1"/>
    <col min="15368" max="15368" width="16.6640625" style="313" customWidth="1"/>
    <col min="15369" max="15369" width="5.6640625" style="313" customWidth="1"/>
    <col min="15370" max="15370" width="15.6640625" style="313" customWidth="1"/>
    <col min="15371" max="15371" width="5.6640625" style="313" customWidth="1"/>
    <col min="15372" max="15372" width="3.109375" style="313" customWidth="1"/>
    <col min="15373" max="15378" width="4.6640625" style="313" customWidth="1"/>
    <col min="15379" max="15379" width="1.6640625" style="313" customWidth="1"/>
    <col min="15380" max="15381" width="9" style="313"/>
    <col min="15382" max="15382" width="18.44140625" style="313" bestFit="1" customWidth="1"/>
    <col min="15383" max="15383" width="29.88671875" style="313" bestFit="1" customWidth="1"/>
    <col min="15384" max="15384" width="30.33203125" style="313" bestFit="1" customWidth="1"/>
    <col min="15385" max="15616" width="9" style="313"/>
    <col min="15617" max="15617" width="1.6640625" style="313" customWidth="1"/>
    <col min="15618" max="15618" width="9.6640625" style="313" customWidth="1"/>
    <col min="15619" max="15619" width="8.6640625" style="313" customWidth="1"/>
    <col min="15620" max="15620" width="5.6640625" style="313" customWidth="1"/>
    <col min="15621" max="15622" width="15.6640625" style="313" customWidth="1"/>
    <col min="15623" max="15623" width="5.6640625" style="313" customWidth="1"/>
    <col min="15624" max="15624" width="16.6640625" style="313" customWidth="1"/>
    <col min="15625" max="15625" width="5.6640625" style="313" customWidth="1"/>
    <col min="15626" max="15626" width="15.6640625" style="313" customWidth="1"/>
    <col min="15627" max="15627" width="5.6640625" style="313" customWidth="1"/>
    <col min="15628" max="15628" width="3.109375" style="313" customWidth="1"/>
    <col min="15629" max="15634" width="4.6640625" style="313" customWidth="1"/>
    <col min="15635" max="15635" width="1.6640625" style="313" customWidth="1"/>
    <col min="15636" max="15637" width="9" style="313"/>
    <col min="15638" max="15638" width="18.44140625" style="313" bestFit="1" customWidth="1"/>
    <col min="15639" max="15639" width="29.88671875" style="313" bestFit="1" customWidth="1"/>
    <col min="15640" max="15640" width="30.33203125" style="313" bestFit="1" customWidth="1"/>
    <col min="15641" max="15872" width="9" style="313"/>
    <col min="15873" max="15873" width="1.6640625" style="313" customWidth="1"/>
    <col min="15874" max="15874" width="9.6640625" style="313" customWidth="1"/>
    <col min="15875" max="15875" width="8.6640625" style="313" customWidth="1"/>
    <col min="15876" max="15876" width="5.6640625" style="313" customWidth="1"/>
    <col min="15877" max="15878" width="15.6640625" style="313" customWidth="1"/>
    <col min="15879" max="15879" width="5.6640625" style="313" customWidth="1"/>
    <col min="15880" max="15880" width="16.6640625" style="313" customWidth="1"/>
    <col min="15881" max="15881" width="5.6640625" style="313" customWidth="1"/>
    <col min="15882" max="15882" width="15.6640625" style="313" customWidth="1"/>
    <col min="15883" max="15883" width="5.6640625" style="313" customWidth="1"/>
    <col min="15884" max="15884" width="3.109375" style="313" customWidth="1"/>
    <col min="15885" max="15890" width="4.6640625" style="313" customWidth="1"/>
    <col min="15891" max="15891" width="1.6640625" style="313" customWidth="1"/>
    <col min="15892" max="15893" width="9" style="313"/>
    <col min="15894" max="15894" width="18.44140625" style="313" bestFit="1" customWidth="1"/>
    <col min="15895" max="15895" width="29.88671875" style="313" bestFit="1" customWidth="1"/>
    <col min="15896" max="15896" width="30.33203125" style="313" bestFit="1" customWidth="1"/>
    <col min="15897" max="16128" width="9" style="313"/>
    <col min="16129" max="16129" width="1.6640625" style="313" customWidth="1"/>
    <col min="16130" max="16130" width="9.6640625" style="313" customWidth="1"/>
    <col min="16131" max="16131" width="8.6640625" style="313" customWidth="1"/>
    <col min="16132" max="16132" width="5.6640625" style="313" customWidth="1"/>
    <col min="16133" max="16134" width="15.6640625" style="313" customWidth="1"/>
    <col min="16135" max="16135" width="5.6640625" style="313" customWidth="1"/>
    <col min="16136" max="16136" width="16.6640625" style="313" customWidth="1"/>
    <col min="16137" max="16137" width="5.6640625" style="313" customWidth="1"/>
    <col min="16138" max="16138" width="15.6640625" style="313" customWidth="1"/>
    <col min="16139" max="16139" width="5.6640625" style="313" customWidth="1"/>
    <col min="16140" max="16140" width="3.109375" style="313" customWidth="1"/>
    <col min="16141" max="16146" width="4.6640625" style="313" customWidth="1"/>
    <col min="16147" max="16147" width="1.6640625" style="313" customWidth="1"/>
    <col min="16148" max="16149" width="9" style="313"/>
    <col min="16150" max="16150" width="18.44140625" style="313" bestFit="1" customWidth="1"/>
    <col min="16151" max="16151" width="29.88671875" style="313" bestFit="1" customWidth="1"/>
    <col min="16152" max="16152" width="30.33203125" style="313" bestFit="1" customWidth="1"/>
    <col min="16153" max="16384" width="9" style="313"/>
  </cols>
  <sheetData>
    <row r="1" spans="2:24">
      <c r="B1" s="537" t="s">
        <v>1056</v>
      </c>
      <c r="C1" s="538"/>
      <c r="K1" s="314" t="s">
        <v>313</v>
      </c>
      <c r="L1" s="1111"/>
      <c r="M1" s="1111"/>
      <c r="N1" s="315" t="s">
        <v>34</v>
      </c>
      <c r="O1" s="534"/>
      <c r="P1" s="315" t="s">
        <v>261</v>
      </c>
      <c r="Q1" s="534"/>
      <c r="R1" s="315" t="s">
        <v>376</v>
      </c>
    </row>
    <row r="2" spans="2:24" ht="19.2">
      <c r="B2" s="1112" t="s">
        <v>1057</v>
      </c>
      <c r="C2" s="1112"/>
      <c r="D2" s="1112"/>
      <c r="E2" s="1112"/>
      <c r="F2" s="1112"/>
      <c r="G2" s="1112"/>
      <c r="H2" s="1112"/>
      <c r="I2" s="1112"/>
      <c r="J2" s="1112"/>
      <c r="K2" s="1112"/>
      <c r="L2" s="1112"/>
      <c r="M2" s="1112"/>
      <c r="N2" s="1112"/>
      <c r="O2" s="1112"/>
      <c r="P2" s="1112"/>
      <c r="Q2" s="1112"/>
      <c r="R2" s="1112"/>
    </row>
    <row r="3" spans="2:24" ht="7.5" customHeight="1">
      <c r="B3" s="535"/>
      <c r="C3" s="535"/>
      <c r="D3" s="535"/>
      <c r="E3" s="535"/>
      <c r="F3" s="535"/>
      <c r="G3" s="535"/>
      <c r="H3" s="535"/>
      <c r="I3" s="535"/>
      <c r="J3" s="535"/>
      <c r="K3" s="535"/>
      <c r="L3" s="535"/>
      <c r="M3" s="535"/>
      <c r="N3" s="535"/>
      <c r="O3" s="535"/>
      <c r="P3" s="535"/>
      <c r="Q3" s="535"/>
      <c r="R3" s="535"/>
    </row>
    <row r="4" spans="2:24" ht="24.9" customHeight="1">
      <c r="I4" s="314" t="s">
        <v>112</v>
      </c>
      <c r="J4" s="1113"/>
      <c r="K4" s="1113"/>
      <c r="L4" s="1113"/>
      <c r="M4" s="1113"/>
      <c r="N4" s="1113"/>
      <c r="O4" s="1113"/>
      <c r="P4" s="1113"/>
      <c r="Q4" s="1113"/>
      <c r="R4" s="1113"/>
    </row>
    <row r="5" spans="2:24" ht="24.9" customHeight="1">
      <c r="I5" s="314" t="s">
        <v>55</v>
      </c>
      <c r="J5" s="1114"/>
      <c r="K5" s="1114"/>
      <c r="L5" s="1114"/>
      <c r="M5" s="1114"/>
      <c r="N5" s="1114"/>
      <c r="O5" s="1114"/>
      <c r="P5" s="1114"/>
      <c r="Q5" s="1114"/>
      <c r="R5" s="1114"/>
    </row>
    <row r="6" spans="2:24" ht="24.9" customHeight="1">
      <c r="I6" s="314" t="s">
        <v>1058</v>
      </c>
      <c r="J6" s="1114"/>
      <c r="K6" s="1114"/>
      <c r="L6" s="1114"/>
      <c r="M6" s="1114"/>
      <c r="N6" s="1114"/>
      <c r="O6" s="1114"/>
      <c r="P6" s="1114"/>
      <c r="Q6" s="1114"/>
      <c r="R6" s="1114"/>
    </row>
    <row r="7" spans="2:24" ht="9" customHeight="1">
      <c r="I7" s="314"/>
      <c r="J7" s="539"/>
      <c r="K7" s="539"/>
      <c r="L7" s="539"/>
      <c r="M7" s="539"/>
      <c r="N7" s="539"/>
      <c r="O7" s="539"/>
      <c r="P7" s="539"/>
      <c r="Q7" s="539"/>
      <c r="R7" s="539"/>
    </row>
    <row r="8" spans="2:24">
      <c r="B8" s="1115" t="s">
        <v>1059</v>
      </c>
      <c r="C8" s="1115"/>
      <c r="D8" s="1115"/>
      <c r="E8" s="316"/>
      <c r="F8" s="1116" t="s">
        <v>1060</v>
      </c>
      <c r="G8" s="1116"/>
      <c r="H8" s="1116"/>
      <c r="I8" s="1116"/>
    </row>
    <row r="9" spans="2:24" hidden="1">
      <c r="E9" s="316"/>
      <c r="F9" s="1117" t="s">
        <v>1061</v>
      </c>
      <c r="G9" s="1117"/>
      <c r="H9" s="1117"/>
      <c r="I9" s="1117"/>
    </row>
    <row r="10" spans="2:24" ht="9" customHeight="1"/>
    <row r="11" spans="2:24">
      <c r="B11" s="317" t="s">
        <v>1062</v>
      </c>
      <c r="F11" s="1118" t="s">
        <v>719</v>
      </c>
      <c r="G11" s="1118"/>
      <c r="H11" s="1118"/>
      <c r="I11" s="1118"/>
      <c r="J11" s="314" t="s">
        <v>1063</v>
      </c>
      <c r="K11" s="536"/>
    </row>
    <row r="12" spans="2:24" ht="9" customHeight="1"/>
    <row r="13" spans="2:24">
      <c r="B13" s="317" t="s">
        <v>1064</v>
      </c>
    </row>
    <row r="14" spans="2:24">
      <c r="B14" s="534" t="s">
        <v>194</v>
      </c>
      <c r="C14" s="1119" t="s">
        <v>1065</v>
      </c>
      <c r="D14" s="1119"/>
      <c r="E14" s="1119"/>
      <c r="F14" s="1119"/>
      <c r="G14" s="1119"/>
      <c r="H14" s="1119"/>
      <c r="I14" s="1119"/>
      <c r="J14" s="1119"/>
      <c r="K14" s="1119"/>
      <c r="M14" s="1120" t="s">
        <v>1066</v>
      </c>
      <c r="N14" s="1121"/>
      <c r="O14" s="1121"/>
      <c r="P14" s="1121"/>
      <c r="Q14" s="1121"/>
      <c r="R14" s="1122"/>
    </row>
    <row r="15" spans="2:24" ht="80.099999999999994" customHeight="1">
      <c r="B15" s="318"/>
      <c r="C15" s="1123" t="s">
        <v>1067</v>
      </c>
      <c r="D15" s="1123"/>
      <c r="E15" s="318"/>
      <c r="F15" s="1124" t="s">
        <v>1068</v>
      </c>
      <c r="G15" s="1124"/>
      <c r="H15" s="1125" t="s">
        <v>1069</v>
      </c>
      <c r="I15" s="1125"/>
      <c r="J15" s="1123" t="s">
        <v>1070</v>
      </c>
      <c r="K15" s="1123"/>
      <c r="M15" s="1126" t="str">
        <f>F8</f>
        <v>介護福祉士</v>
      </c>
      <c r="N15" s="1127"/>
      <c r="O15" s="1128"/>
      <c r="P15" s="1126" t="str">
        <f>F9</f>
        <v>介護職員</v>
      </c>
      <c r="Q15" s="1127"/>
      <c r="R15" s="1128"/>
    </row>
    <row r="16" spans="2:24" ht="26.1" customHeight="1">
      <c r="B16" s="540" t="s">
        <v>1071</v>
      </c>
      <c r="C16" s="1129"/>
      <c r="D16" s="1130" t="s">
        <v>372</v>
      </c>
      <c r="E16" s="319" t="str">
        <f>$F$8</f>
        <v>介護福祉士</v>
      </c>
      <c r="F16" s="320"/>
      <c r="G16" s="321" t="s">
        <v>97</v>
      </c>
      <c r="H16" s="320"/>
      <c r="I16" s="321" t="s">
        <v>372</v>
      </c>
      <c r="J16" s="320"/>
      <c r="K16" s="321" t="s">
        <v>372</v>
      </c>
      <c r="M16" s="1132" t="str">
        <f>IF(C16="","",F16+ROUNDDOWN((H16+J16)/C16,1))</f>
        <v/>
      </c>
      <c r="N16" s="1133"/>
      <c r="O16" s="1134"/>
      <c r="P16" s="1132" t="str">
        <f>IF(C16="","",F17+ROUNDDOWN((H17+J17)/C16,1))</f>
        <v/>
      </c>
      <c r="Q16" s="1133"/>
      <c r="R16" s="1134"/>
      <c r="V16" s="541"/>
      <c r="W16" s="542" t="s">
        <v>1072</v>
      </c>
      <c r="X16" s="542" t="s">
        <v>1073</v>
      </c>
    </row>
    <row r="17" spans="2:24" ht="26.1" customHeight="1">
      <c r="B17" s="533" t="s">
        <v>1074</v>
      </c>
      <c r="C17" s="1129"/>
      <c r="D17" s="1131"/>
      <c r="E17" s="322" t="str">
        <f>$F$9</f>
        <v>介護職員</v>
      </c>
      <c r="F17" s="323"/>
      <c r="G17" s="324" t="s">
        <v>97</v>
      </c>
      <c r="H17" s="323"/>
      <c r="I17" s="324" t="s">
        <v>372</v>
      </c>
      <c r="J17" s="323"/>
      <c r="K17" s="324" t="s">
        <v>372</v>
      </c>
      <c r="M17" s="1135"/>
      <c r="N17" s="1136"/>
      <c r="O17" s="1137"/>
      <c r="P17" s="1135"/>
      <c r="Q17" s="1136"/>
      <c r="R17" s="1137"/>
      <c r="V17" s="1138" t="s">
        <v>1075</v>
      </c>
      <c r="W17" s="541" t="s">
        <v>1060</v>
      </c>
      <c r="X17" s="541" t="s">
        <v>1076</v>
      </c>
    </row>
    <row r="18" spans="2:24" ht="26.1" customHeight="1">
      <c r="B18" s="325"/>
      <c r="C18" s="1129"/>
      <c r="D18" s="1130" t="s">
        <v>372</v>
      </c>
      <c r="E18" s="326" t="str">
        <f>$F$8</f>
        <v>介護福祉士</v>
      </c>
      <c r="F18" s="327"/>
      <c r="G18" s="328" t="s">
        <v>97</v>
      </c>
      <c r="H18" s="320"/>
      <c r="I18" s="328" t="s">
        <v>372</v>
      </c>
      <c r="J18" s="320"/>
      <c r="K18" s="328" t="s">
        <v>372</v>
      </c>
      <c r="M18" s="1132" t="str">
        <f>IF(C18="","",F18+ROUNDDOWN((H18+J18)/C18,1))</f>
        <v/>
      </c>
      <c r="N18" s="1133"/>
      <c r="O18" s="1134"/>
      <c r="P18" s="1132" t="str">
        <f>IF(C18="","",F19+ROUNDDOWN((H19+J19)/C18,1))</f>
        <v/>
      </c>
      <c r="Q18" s="1133"/>
      <c r="R18" s="1134"/>
      <c r="V18" s="1139"/>
      <c r="W18" s="541" t="s">
        <v>1077</v>
      </c>
      <c r="X18" s="541" t="s">
        <v>1078</v>
      </c>
    </row>
    <row r="19" spans="2:24" ht="26.1" customHeight="1">
      <c r="B19" s="533" t="s">
        <v>720</v>
      </c>
      <c r="C19" s="1129"/>
      <c r="D19" s="1131"/>
      <c r="E19" s="322" t="str">
        <f>$F$9</f>
        <v>介護職員</v>
      </c>
      <c r="F19" s="323"/>
      <c r="G19" s="324" t="s">
        <v>97</v>
      </c>
      <c r="H19" s="323"/>
      <c r="I19" s="324" t="s">
        <v>372</v>
      </c>
      <c r="J19" s="323"/>
      <c r="K19" s="324" t="s">
        <v>372</v>
      </c>
      <c r="M19" s="1135"/>
      <c r="N19" s="1136"/>
      <c r="O19" s="1137"/>
      <c r="P19" s="1135"/>
      <c r="Q19" s="1136"/>
      <c r="R19" s="1137"/>
      <c r="V19" s="1139"/>
      <c r="W19" s="541" t="s">
        <v>1079</v>
      </c>
      <c r="X19" s="541" t="s">
        <v>1080</v>
      </c>
    </row>
    <row r="20" spans="2:24" ht="26.1" customHeight="1">
      <c r="B20" s="325"/>
      <c r="C20" s="1129"/>
      <c r="D20" s="1130" t="s">
        <v>372</v>
      </c>
      <c r="E20" s="326" t="str">
        <f>$F$8</f>
        <v>介護福祉士</v>
      </c>
      <c r="F20" s="327"/>
      <c r="G20" s="328" t="s">
        <v>97</v>
      </c>
      <c r="H20" s="320"/>
      <c r="I20" s="328" t="s">
        <v>372</v>
      </c>
      <c r="J20" s="320"/>
      <c r="K20" s="328" t="s">
        <v>372</v>
      </c>
      <c r="M20" s="1132" t="str">
        <f>IF(C20="","",F20+ROUNDDOWN((H20+J20)/C20,1))</f>
        <v/>
      </c>
      <c r="N20" s="1133"/>
      <c r="O20" s="1134"/>
      <c r="P20" s="1132" t="str">
        <f>IF(C20="","",F21+ROUNDDOWN((H21+J21)/C20,1))</f>
        <v/>
      </c>
      <c r="Q20" s="1133"/>
      <c r="R20" s="1134"/>
      <c r="V20" s="1139"/>
      <c r="W20" s="541" t="s">
        <v>1080</v>
      </c>
      <c r="X20" s="541" t="s">
        <v>1080</v>
      </c>
    </row>
    <row r="21" spans="2:24" ht="26.1" customHeight="1">
      <c r="B21" s="533" t="s">
        <v>721</v>
      </c>
      <c r="C21" s="1129"/>
      <c r="D21" s="1131"/>
      <c r="E21" s="322" t="str">
        <f>$F$9</f>
        <v>介護職員</v>
      </c>
      <c r="F21" s="323"/>
      <c r="G21" s="324" t="s">
        <v>97</v>
      </c>
      <c r="H21" s="323"/>
      <c r="I21" s="324" t="s">
        <v>372</v>
      </c>
      <c r="J21" s="323"/>
      <c r="K21" s="324" t="s">
        <v>372</v>
      </c>
      <c r="M21" s="1135"/>
      <c r="N21" s="1136"/>
      <c r="O21" s="1137"/>
      <c r="P21" s="1135"/>
      <c r="Q21" s="1136"/>
      <c r="R21" s="1137"/>
      <c r="V21" s="1139"/>
      <c r="W21" s="541" t="s">
        <v>1080</v>
      </c>
      <c r="X21" s="541" t="s">
        <v>1080</v>
      </c>
    </row>
    <row r="22" spans="2:24" ht="26.1" customHeight="1">
      <c r="B22" s="325"/>
      <c r="C22" s="1129"/>
      <c r="D22" s="1130" t="s">
        <v>372</v>
      </c>
      <c r="E22" s="326" t="str">
        <f>$F$8</f>
        <v>介護福祉士</v>
      </c>
      <c r="F22" s="327"/>
      <c r="G22" s="328" t="s">
        <v>97</v>
      </c>
      <c r="H22" s="320"/>
      <c r="I22" s="328" t="s">
        <v>372</v>
      </c>
      <c r="J22" s="320"/>
      <c r="K22" s="328" t="s">
        <v>372</v>
      </c>
      <c r="M22" s="1132" t="str">
        <f>IF(C22="","",F22+ROUNDDOWN((H22+J22)/C22,1))</f>
        <v/>
      </c>
      <c r="N22" s="1133"/>
      <c r="O22" s="1134"/>
      <c r="P22" s="1132" t="str">
        <f>IF(C22="","",F23+ROUNDDOWN((H23+J23)/C22,1))</f>
        <v/>
      </c>
      <c r="Q22" s="1133"/>
      <c r="R22" s="1134"/>
      <c r="V22" s="1140"/>
      <c r="W22" s="541" t="s">
        <v>1080</v>
      </c>
      <c r="X22" s="541" t="s">
        <v>1080</v>
      </c>
    </row>
    <row r="23" spans="2:24" ht="26.1" customHeight="1">
      <c r="B23" s="533" t="s">
        <v>722</v>
      </c>
      <c r="C23" s="1129"/>
      <c r="D23" s="1131"/>
      <c r="E23" s="322" t="str">
        <f>$F$9</f>
        <v>介護職員</v>
      </c>
      <c r="F23" s="323"/>
      <c r="G23" s="324" t="s">
        <v>97</v>
      </c>
      <c r="H23" s="323"/>
      <c r="I23" s="324" t="s">
        <v>372</v>
      </c>
      <c r="J23" s="323"/>
      <c r="K23" s="324" t="s">
        <v>372</v>
      </c>
      <c r="M23" s="1135"/>
      <c r="N23" s="1136"/>
      <c r="O23" s="1137"/>
      <c r="P23" s="1135"/>
      <c r="Q23" s="1136"/>
      <c r="R23" s="1137"/>
    </row>
    <row r="24" spans="2:24" ht="26.1" customHeight="1">
      <c r="B24" s="325"/>
      <c r="C24" s="1129"/>
      <c r="D24" s="1130" t="s">
        <v>372</v>
      </c>
      <c r="E24" s="326" t="str">
        <f>$F$8</f>
        <v>介護福祉士</v>
      </c>
      <c r="F24" s="327"/>
      <c r="G24" s="328" t="s">
        <v>97</v>
      </c>
      <c r="H24" s="320"/>
      <c r="I24" s="328" t="s">
        <v>372</v>
      </c>
      <c r="J24" s="320"/>
      <c r="K24" s="328" t="s">
        <v>372</v>
      </c>
      <c r="M24" s="1132" t="str">
        <f>IF(C24="","",F24+ROUNDDOWN((H24+J24)/C24,1))</f>
        <v/>
      </c>
      <c r="N24" s="1133"/>
      <c r="O24" s="1134"/>
      <c r="P24" s="1132" t="str">
        <f>IF(C24="","",F25+ROUNDDOWN((H25+J25)/C24,1))</f>
        <v/>
      </c>
      <c r="Q24" s="1133"/>
      <c r="R24" s="1134"/>
    </row>
    <row r="25" spans="2:24" ht="26.1" customHeight="1">
      <c r="B25" s="533" t="s">
        <v>723</v>
      </c>
      <c r="C25" s="1129"/>
      <c r="D25" s="1131"/>
      <c r="E25" s="322" t="str">
        <f>$F$9</f>
        <v>介護職員</v>
      </c>
      <c r="F25" s="323"/>
      <c r="G25" s="324" t="s">
        <v>97</v>
      </c>
      <c r="H25" s="323"/>
      <c r="I25" s="324" t="s">
        <v>372</v>
      </c>
      <c r="J25" s="323"/>
      <c r="K25" s="324" t="s">
        <v>372</v>
      </c>
      <c r="M25" s="1135"/>
      <c r="N25" s="1136"/>
      <c r="O25" s="1137"/>
      <c r="P25" s="1135"/>
      <c r="Q25" s="1136"/>
      <c r="R25" s="1137"/>
    </row>
    <row r="26" spans="2:24" ht="26.1" customHeight="1">
      <c r="B26" s="325"/>
      <c r="C26" s="1129"/>
      <c r="D26" s="1130" t="s">
        <v>372</v>
      </c>
      <c r="E26" s="326" t="str">
        <f>$F$8</f>
        <v>介護福祉士</v>
      </c>
      <c r="F26" s="327"/>
      <c r="G26" s="328" t="s">
        <v>97</v>
      </c>
      <c r="H26" s="320"/>
      <c r="I26" s="328" t="s">
        <v>372</v>
      </c>
      <c r="J26" s="320"/>
      <c r="K26" s="328" t="s">
        <v>372</v>
      </c>
      <c r="M26" s="1132" t="str">
        <f>IF(C26="","",F26+ROUNDDOWN((H26+J26)/C26,1))</f>
        <v/>
      </c>
      <c r="N26" s="1133"/>
      <c r="O26" s="1134"/>
      <c r="P26" s="1132" t="str">
        <f>IF(C26="","",F27+ROUNDDOWN((H27+J27)/C26,1))</f>
        <v/>
      </c>
      <c r="Q26" s="1133"/>
      <c r="R26" s="1134"/>
    </row>
    <row r="27" spans="2:24" ht="26.1" customHeight="1">
      <c r="B27" s="533" t="s">
        <v>724</v>
      </c>
      <c r="C27" s="1129"/>
      <c r="D27" s="1131"/>
      <c r="E27" s="322" t="str">
        <f>$F$9</f>
        <v>介護職員</v>
      </c>
      <c r="F27" s="323"/>
      <c r="G27" s="324" t="s">
        <v>97</v>
      </c>
      <c r="H27" s="323"/>
      <c r="I27" s="324" t="s">
        <v>372</v>
      </c>
      <c r="J27" s="323"/>
      <c r="K27" s="324" t="s">
        <v>372</v>
      </c>
      <c r="M27" s="1135"/>
      <c r="N27" s="1136"/>
      <c r="O27" s="1137"/>
      <c r="P27" s="1135"/>
      <c r="Q27" s="1136"/>
      <c r="R27" s="1137"/>
    </row>
    <row r="28" spans="2:24" ht="26.1" customHeight="1">
      <c r="B28" s="325"/>
      <c r="C28" s="1129"/>
      <c r="D28" s="1130" t="s">
        <v>372</v>
      </c>
      <c r="E28" s="326" t="str">
        <f>$F$8</f>
        <v>介護福祉士</v>
      </c>
      <c r="F28" s="327"/>
      <c r="G28" s="328" t="s">
        <v>97</v>
      </c>
      <c r="H28" s="320"/>
      <c r="I28" s="328" t="s">
        <v>372</v>
      </c>
      <c r="J28" s="320"/>
      <c r="K28" s="328" t="s">
        <v>372</v>
      </c>
      <c r="M28" s="1132" t="str">
        <f>IF(C28="","",F28+ROUNDDOWN((H28+J28)/C28,1))</f>
        <v/>
      </c>
      <c r="N28" s="1133"/>
      <c r="O28" s="1134"/>
      <c r="P28" s="1132" t="str">
        <f>IF(C28="","",F29+ROUNDDOWN((H29+J29)/C28,1))</f>
        <v/>
      </c>
      <c r="Q28" s="1133"/>
      <c r="R28" s="1134"/>
    </row>
    <row r="29" spans="2:24" ht="26.1" customHeight="1">
      <c r="B29" s="533" t="s">
        <v>725</v>
      </c>
      <c r="C29" s="1129"/>
      <c r="D29" s="1131"/>
      <c r="E29" s="322" t="str">
        <f>$F$9</f>
        <v>介護職員</v>
      </c>
      <c r="F29" s="323"/>
      <c r="G29" s="324" t="s">
        <v>97</v>
      </c>
      <c r="H29" s="323"/>
      <c r="I29" s="324" t="s">
        <v>372</v>
      </c>
      <c r="J29" s="323"/>
      <c r="K29" s="324" t="s">
        <v>372</v>
      </c>
      <c r="M29" s="1135"/>
      <c r="N29" s="1136"/>
      <c r="O29" s="1137"/>
      <c r="P29" s="1135"/>
      <c r="Q29" s="1136"/>
      <c r="R29" s="1137"/>
    </row>
    <row r="30" spans="2:24" ht="26.1" customHeight="1">
      <c r="B30" s="325"/>
      <c r="C30" s="1129"/>
      <c r="D30" s="1130" t="s">
        <v>372</v>
      </c>
      <c r="E30" s="326" t="str">
        <f>$F$8</f>
        <v>介護福祉士</v>
      </c>
      <c r="F30" s="327"/>
      <c r="G30" s="328" t="s">
        <v>97</v>
      </c>
      <c r="H30" s="320"/>
      <c r="I30" s="328" t="s">
        <v>372</v>
      </c>
      <c r="J30" s="320"/>
      <c r="K30" s="328" t="s">
        <v>372</v>
      </c>
      <c r="M30" s="1132" t="str">
        <f>IF(C30="","",F30+ROUNDDOWN((H30+J30)/C30,1))</f>
        <v/>
      </c>
      <c r="N30" s="1133"/>
      <c r="O30" s="1134"/>
      <c r="P30" s="1132" t="str">
        <f>IF(C30="","",F31+ROUNDDOWN((H31+J31)/C30,1))</f>
        <v/>
      </c>
      <c r="Q30" s="1133"/>
      <c r="R30" s="1134"/>
    </row>
    <row r="31" spans="2:24" ht="26.1" customHeight="1">
      <c r="B31" s="533" t="s">
        <v>726</v>
      </c>
      <c r="C31" s="1129"/>
      <c r="D31" s="1131"/>
      <c r="E31" s="322" t="str">
        <f>$F$9</f>
        <v>介護職員</v>
      </c>
      <c r="F31" s="323"/>
      <c r="G31" s="324" t="s">
        <v>97</v>
      </c>
      <c r="H31" s="323"/>
      <c r="I31" s="324" t="s">
        <v>372</v>
      </c>
      <c r="J31" s="323"/>
      <c r="K31" s="324" t="s">
        <v>372</v>
      </c>
      <c r="M31" s="1135"/>
      <c r="N31" s="1136"/>
      <c r="O31" s="1137"/>
      <c r="P31" s="1135"/>
      <c r="Q31" s="1136"/>
      <c r="R31" s="1137"/>
    </row>
    <row r="32" spans="2:24" ht="26.1" customHeight="1">
      <c r="B32" s="325"/>
      <c r="C32" s="1129"/>
      <c r="D32" s="1130" t="s">
        <v>372</v>
      </c>
      <c r="E32" s="326" t="str">
        <f>$F$8</f>
        <v>介護福祉士</v>
      </c>
      <c r="F32" s="327"/>
      <c r="G32" s="328" t="s">
        <v>97</v>
      </c>
      <c r="H32" s="320"/>
      <c r="I32" s="328" t="s">
        <v>372</v>
      </c>
      <c r="J32" s="320"/>
      <c r="K32" s="328" t="s">
        <v>372</v>
      </c>
      <c r="M32" s="1132" t="str">
        <f>IF(C32="","",F32+ROUNDDOWN((H32+J32)/C32,1))</f>
        <v/>
      </c>
      <c r="N32" s="1133"/>
      <c r="O32" s="1134"/>
      <c r="P32" s="1132" t="str">
        <f>IF(C32="","",F33+ROUNDDOWN((H33+J33)/C32,1))</f>
        <v/>
      </c>
      <c r="Q32" s="1133"/>
      <c r="R32" s="1134"/>
    </row>
    <row r="33" spans="2:19" ht="26.1" customHeight="1">
      <c r="B33" s="533" t="s">
        <v>727</v>
      </c>
      <c r="C33" s="1129"/>
      <c r="D33" s="1131"/>
      <c r="E33" s="322" t="str">
        <f>$F$9</f>
        <v>介護職員</v>
      </c>
      <c r="F33" s="323"/>
      <c r="G33" s="324" t="s">
        <v>97</v>
      </c>
      <c r="H33" s="323"/>
      <c r="I33" s="324" t="s">
        <v>372</v>
      </c>
      <c r="J33" s="323"/>
      <c r="K33" s="324" t="s">
        <v>372</v>
      </c>
      <c r="M33" s="1135"/>
      <c r="N33" s="1136"/>
      <c r="O33" s="1137"/>
      <c r="P33" s="1135"/>
      <c r="Q33" s="1136"/>
      <c r="R33" s="1137"/>
    </row>
    <row r="34" spans="2:19" ht="26.1" customHeight="1">
      <c r="B34" s="540" t="s">
        <v>1071</v>
      </c>
      <c r="C34" s="1129"/>
      <c r="D34" s="1130" t="s">
        <v>372</v>
      </c>
      <c r="E34" s="326" t="str">
        <f>$F$8</f>
        <v>介護福祉士</v>
      </c>
      <c r="F34" s="327"/>
      <c r="G34" s="328" t="s">
        <v>97</v>
      </c>
      <c r="H34" s="320"/>
      <c r="I34" s="328" t="s">
        <v>372</v>
      </c>
      <c r="J34" s="320"/>
      <c r="K34" s="328" t="s">
        <v>372</v>
      </c>
      <c r="M34" s="1132" t="str">
        <f>IF(C34="","",F34+ROUNDDOWN((H34+J34)/C34,1))</f>
        <v/>
      </c>
      <c r="N34" s="1133"/>
      <c r="O34" s="1134"/>
      <c r="P34" s="1132" t="str">
        <f>IF(C34="","",F35+ROUNDDOWN((H35+J35)/C34,1))</f>
        <v/>
      </c>
      <c r="Q34" s="1133"/>
      <c r="R34" s="1134"/>
    </row>
    <row r="35" spans="2:19" ht="26.1" customHeight="1">
      <c r="B35" s="533" t="s">
        <v>728</v>
      </c>
      <c r="C35" s="1129"/>
      <c r="D35" s="1131"/>
      <c r="E35" s="322" t="str">
        <f>$F$9</f>
        <v>介護職員</v>
      </c>
      <c r="F35" s="323"/>
      <c r="G35" s="324" t="s">
        <v>97</v>
      </c>
      <c r="H35" s="323"/>
      <c r="I35" s="324" t="s">
        <v>372</v>
      </c>
      <c r="J35" s="323"/>
      <c r="K35" s="324" t="s">
        <v>372</v>
      </c>
      <c r="M35" s="1135"/>
      <c r="N35" s="1136"/>
      <c r="O35" s="1137"/>
      <c r="P35" s="1135"/>
      <c r="Q35" s="1136"/>
      <c r="R35" s="1137"/>
    </row>
    <row r="36" spans="2:19" ht="26.1" customHeight="1">
      <c r="B36" s="325"/>
      <c r="C36" s="1129"/>
      <c r="D36" s="1130" t="s">
        <v>372</v>
      </c>
      <c r="E36" s="326" t="str">
        <f>$F$8</f>
        <v>介護福祉士</v>
      </c>
      <c r="F36" s="327"/>
      <c r="G36" s="328" t="s">
        <v>97</v>
      </c>
      <c r="H36" s="320"/>
      <c r="I36" s="328" t="s">
        <v>372</v>
      </c>
      <c r="J36" s="320"/>
      <c r="K36" s="328" t="s">
        <v>372</v>
      </c>
      <c r="M36" s="1132" t="str">
        <f>IF(C36="","",F36+ROUNDDOWN((H36+J36)/C36,1))</f>
        <v/>
      </c>
      <c r="N36" s="1133"/>
      <c r="O36" s="1134"/>
      <c r="P36" s="1132" t="str">
        <f>IF(C36="","",F37+ROUNDDOWN((H37+J37)/C36,1))</f>
        <v/>
      </c>
      <c r="Q36" s="1133"/>
      <c r="R36" s="1134"/>
    </row>
    <row r="37" spans="2:19" ht="26.1" customHeight="1">
      <c r="B37" s="533" t="s">
        <v>729</v>
      </c>
      <c r="C37" s="1129"/>
      <c r="D37" s="1131"/>
      <c r="E37" s="322" t="str">
        <f>$F$9</f>
        <v>介護職員</v>
      </c>
      <c r="F37" s="323"/>
      <c r="G37" s="324" t="s">
        <v>97</v>
      </c>
      <c r="H37" s="323"/>
      <c r="I37" s="324" t="s">
        <v>372</v>
      </c>
      <c r="J37" s="323"/>
      <c r="K37" s="324" t="s">
        <v>372</v>
      </c>
      <c r="M37" s="1135"/>
      <c r="N37" s="1136"/>
      <c r="O37" s="1137"/>
      <c r="P37" s="1135"/>
      <c r="Q37" s="1136"/>
      <c r="R37" s="1137"/>
    </row>
    <row r="38" spans="2:19" ht="6.75" customHeight="1">
      <c r="B38" s="543"/>
      <c r="C38" s="544"/>
      <c r="D38" s="543"/>
      <c r="E38" s="545"/>
      <c r="F38" s="546"/>
      <c r="G38" s="547"/>
      <c r="H38" s="546"/>
      <c r="I38" s="547"/>
      <c r="J38" s="548"/>
      <c r="K38" s="549"/>
      <c r="L38" s="549"/>
      <c r="M38" s="329"/>
      <c r="N38" s="329"/>
      <c r="O38" s="329"/>
      <c r="P38" s="329"/>
      <c r="Q38" s="329"/>
      <c r="R38" s="329"/>
    </row>
    <row r="39" spans="2:19" ht="20.100000000000001" customHeight="1">
      <c r="H39" s="315"/>
      <c r="J39" s="1131" t="s">
        <v>1081</v>
      </c>
      <c r="K39" s="1131"/>
      <c r="L39" s="1131"/>
      <c r="M39" s="1135" t="str">
        <f>IF(SUM(M16:O37)=0,"",SUM(M16:O37))</f>
        <v/>
      </c>
      <c r="N39" s="1136"/>
      <c r="O39" s="1137"/>
      <c r="P39" s="1135" t="str">
        <f>IF(SUM(P16:R37)=0,"",SUM(P16:R37))</f>
        <v/>
      </c>
      <c r="Q39" s="1136"/>
      <c r="R39" s="1136"/>
      <c r="S39" s="550"/>
    </row>
    <row r="40" spans="2:19" ht="20.100000000000001" customHeight="1">
      <c r="H40" s="315"/>
      <c r="J40" s="1117" t="s">
        <v>1082</v>
      </c>
      <c r="K40" s="1117"/>
      <c r="L40" s="1117"/>
      <c r="M40" s="1141" t="str">
        <f>IF(M39="","",ROUNDDOWN(M39/$K$11,1))</f>
        <v/>
      </c>
      <c r="N40" s="1142"/>
      <c r="O40" s="1143"/>
      <c r="P40" s="1141" t="str">
        <f>IF(P39="","",ROUNDDOWN(P39/$K$11,1))</f>
        <v/>
      </c>
      <c r="Q40" s="1142"/>
      <c r="R40" s="1143"/>
    </row>
    <row r="41" spans="2:19" ht="18.75" customHeight="1">
      <c r="J41" s="1144" t="str">
        <f>$M$15</f>
        <v>介護福祉士</v>
      </c>
      <c r="K41" s="1145"/>
      <c r="L41" s="1145"/>
      <c r="M41" s="1145"/>
      <c r="N41" s="1145"/>
      <c r="O41" s="1146"/>
      <c r="P41" s="1147" t="str">
        <f>IF(M40="","",M40/P40)</f>
        <v/>
      </c>
      <c r="Q41" s="1148"/>
      <c r="R41" s="1149"/>
    </row>
    <row r="42" spans="2:19" ht="18.75" customHeight="1">
      <c r="J42" s="1153" t="s">
        <v>1083</v>
      </c>
      <c r="K42" s="1154"/>
      <c r="L42" s="1154"/>
      <c r="M42" s="1154"/>
      <c r="N42" s="1154"/>
      <c r="O42" s="1155"/>
      <c r="P42" s="1150"/>
      <c r="Q42" s="1151"/>
      <c r="R42" s="1152"/>
    </row>
    <row r="43" spans="2:19" ht="18.75" customHeight="1">
      <c r="J43" s="315"/>
      <c r="K43" s="315"/>
      <c r="L43" s="315"/>
      <c r="M43" s="315"/>
      <c r="N43" s="315"/>
      <c r="O43" s="315"/>
      <c r="P43" s="315"/>
      <c r="Q43" s="315"/>
      <c r="R43" s="330"/>
    </row>
    <row r="44" spans="2:19" ht="18.75" customHeight="1">
      <c r="B44" s="534" t="s">
        <v>194</v>
      </c>
      <c r="C44" s="1119" t="s">
        <v>1084</v>
      </c>
      <c r="D44" s="1119"/>
      <c r="E44" s="1119"/>
      <c r="F44" s="1119"/>
      <c r="G44" s="1119"/>
      <c r="H44" s="1119"/>
      <c r="I44" s="1119"/>
      <c r="J44" s="1119"/>
      <c r="K44" s="1119"/>
      <c r="M44" s="1120" t="s">
        <v>1066</v>
      </c>
      <c r="N44" s="1121"/>
      <c r="O44" s="1121"/>
      <c r="P44" s="1121"/>
      <c r="Q44" s="1121"/>
      <c r="R44" s="1122"/>
    </row>
    <row r="45" spans="2:19" ht="79.5" customHeight="1">
      <c r="B45" s="318"/>
      <c r="C45" s="1123" t="s">
        <v>1067</v>
      </c>
      <c r="D45" s="1123"/>
      <c r="E45" s="318"/>
      <c r="F45" s="1124" t="s">
        <v>1068</v>
      </c>
      <c r="G45" s="1124"/>
      <c r="H45" s="1125" t="s">
        <v>1069</v>
      </c>
      <c r="I45" s="1125"/>
      <c r="J45" s="1123" t="s">
        <v>1070</v>
      </c>
      <c r="K45" s="1123"/>
      <c r="M45" s="1126" t="str">
        <f>F8</f>
        <v>介護福祉士</v>
      </c>
      <c r="N45" s="1127"/>
      <c r="O45" s="1128"/>
      <c r="P45" s="1126" t="str">
        <f>F9</f>
        <v>介護職員</v>
      </c>
      <c r="Q45" s="1127"/>
      <c r="R45" s="1128"/>
    </row>
    <row r="46" spans="2:19" ht="25.5" customHeight="1">
      <c r="B46" s="540" t="s">
        <v>1071</v>
      </c>
      <c r="C46" s="1129"/>
      <c r="D46" s="1130" t="s">
        <v>372</v>
      </c>
      <c r="E46" s="331" t="str">
        <f>$F$8</f>
        <v>介護福祉士</v>
      </c>
      <c r="F46" s="320"/>
      <c r="G46" s="321" t="s">
        <v>97</v>
      </c>
      <c r="H46" s="320"/>
      <c r="I46" s="321" t="s">
        <v>372</v>
      </c>
      <c r="J46" s="320"/>
      <c r="K46" s="321" t="s">
        <v>372</v>
      </c>
      <c r="M46" s="1132" t="str">
        <f>IF(C46="","",F46+ROUNDDOWN((H46+J46)/C46,1))</f>
        <v/>
      </c>
      <c r="N46" s="1133"/>
      <c r="O46" s="1134"/>
      <c r="P46" s="1132" t="str">
        <f>IF(C46="","",F47+ROUNDDOWN((H47+J47)/C46,1))</f>
        <v/>
      </c>
      <c r="Q46" s="1133"/>
      <c r="R46" s="1134"/>
    </row>
    <row r="47" spans="2:19" ht="25.5" customHeight="1">
      <c r="B47" s="332" t="s">
        <v>1074</v>
      </c>
      <c r="C47" s="1129"/>
      <c r="D47" s="1131"/>
      <c r="E47" s="333" t="str">
        <f>$F$9</f>
        <v>介護職員</v>
      </c>
      <c r="F47" s="323"/>
      <c r="G47" s="324" t="s">
        <v>97</v>
      </c>
      <c r="H47" s="323"/>
      <c r="I47" s="324" t="s">
        <v>372</v>
      </c>
      <c r="J47" s="323"/>
      <c r="K47" s="324" t="s">
        <v>372</v>
      </c>
      <c r="M47" s="1135"/>
      <c r="N47" s="1136"/>
      <c r="O47" s="1137"/>
      <c r="P47" s="1135"/>
      <c r="Q47" s="1136"/>
      <c r="R47" s="1137"/>
    </row>
    <row r="48" spans="2:19" ht="25.5" customHeight="1">
      <c r="B48" s="334"/>
      <c r="C48" s="1129"/>
      <c r="D48" s="1130" t="s">
        <v>372</v>
      </c>
      <c r="E48" s="335" t="str">
        <f>$F$8</f>
        <v>介護福祉士</v>
      </c>
      <c r="F48" s="327"/>
      <c r="G48" s="328" t="s">
        <v>97</v>
      </c>
      <c r="H48" s="320"/>
      <c r="I48" s="328" t="s">
        <v>372</v>
      </c>
      <c r="J48" s="320"/>
      <c r="K48" s="328" t="s">
        <v>372</v>
      </c>
      <c r="M48" s="1132" t="str">
        <f>IF(C48="","",F48+ROUNDDOWN((H48+J48)/C48,1))</f>
        <v/>
      </c>
      <c r="N48" s="1133"/>
      <c r="O48" s="1134"/>
      <c r="P48" s="1132" t="str">
        <f>IF(C48="","",F49+ROUNDDOWN((H49+J49)/C48,1))</f>
        <v/>
      </c>
      <c r="Q48" s="1133"/>
      <c r="R48" s="1134"/>
    </row>
    <row r="49" spans="2:18" ht="25.5" customHeight="1">
      <c r="B49" s="332" t="s">
        <v>720</v>
      </c>
      <c r="C49" s="1129"/>
      <c r="D49" s="1131"/>
      <c r="E49" s="333" t="str">
        <f>$F$9</f>
        <v>介護職員</v>
      </c>
      <c r="F49" s="323"/>
      <c r="G49" s="324" t="s">
        <v>97</v>
      </c>
      <c r="H49" s="323"/>
      <c r="I49" s="324" t="s">
        <v>372</v>
      </c>
      <c r="J49" s="323"/>
      <c r="K49" s="324" t="s">
        <v>372</v>
      </c>
      <c r="M49" s="1135"/>
      <c r="N49" s="1136"/>
      <c r="O49" s="1137"/>
      <c r="P49" s="1135"/>
      <c r="Q49" s="1136"/>
      <c r="R49" s="1137"/>
    </row>
    <row r="50" spans="2:18" ht="25.5" customHeight="1">
      <c r="B50" s="334"/>
      <c r="C50" s="1129"/>
      <c r="D50" s="1130" t="s">
        <v>372</v>
      </c>
      <c r="E50" s="335" t="str">
        <f>$F$8</f>
        <v>介護福祉士</v>
      </c>
      <c r="F50" s="327"/>
      <c r="G50" s="328" t="s">
        <v>97</v>
      </c>
      <c r="H50" s="320"/>
      <c r="I50" s="328" t="s">
        <v>372</v>
      </c>
      <c r="J50" s="320"/>
      <c r="K50" s="328" t="s">
        <v>372</v>
      </c>
      <c r="M50" s="1132" t="str">
        <f>IF(C50="","",F50+ROUNDDOWN((H50+J50)/C50,1))</f>
        <v/>
      </c>
      <c r="N50" s="1133"/>
      <c r="O50" s="1134"/>
      <c r="P50" s="1132" t="str">
        <f>IF(C50="","",F51+ROUNDDOWN((H51+J51)/C50,1))</f>
        <v/>
      </c>
      <c r="Q50" s="1133"/>
      <c r="R50" s="1134"/>
    </row>
    <row r="51" spans="2:18" ht="25.5" customHeight="1">
      <c r="B51" s="332" t="s">
        <v>721</v>
      </c>
      <c r="C51" s="1129"/>
      <c r="D51" s="1131"/>
      <c r="E51" s="333" t="str">
        <f>$F$9</f>
        <v>介護職員</v>
      </c>
      <c r="F51" s="323"/>
      <c r="G51" s="324" t="s">
        <v>97</v>
      </c>
      <c r="H51" s="323"/>
      <c r="I51" s="324" t="s">
        <v>372</v>
      </c>
      <c r="J51" s="323"/>
      <c r="K51" s="324" t="s">
        <v>372</v>
      </c>
      <c r="M51" s="1135"/>
      <c r="N51" s="1136"/>
      <c r="O51" s="1137"/>
      <c r="P51" s="1135"/>
      <c r="Q51" s="1136"/>
      <c r="R51" s="1137"/>
    </row>
    <row r="52" spans="2:18" ht="6.75" customHeight="1">
      <c r="J52" s="315"/>
      <c r="K52" s="315"/>
      <c r="L52" s="315"/>
      <c r="M52" s="315"/>
      <c r="N52" s="315"/>
      <c r="O52" s="315"/>
      <c r="P52" s="315"/>
      <c r="Q52" s="315"/>
      <c r="R52" s="330"/>
    </row>
    <row r="53" spans="2:18" ht="20.100000000000001" customHeight="1">
      <c r="J53" s="1117" t="s">
        <v>1081</v>
      </c>
      <c r="K53" s="1117"/>
      <c r="L53" s="1117"/>
      <c r="M53" s="1141" t="str">
        <f>IF(SUM(M46:O51)=0,"",SUM(M46:O51))</f>
        <v/>
      </c>
      <c r="N53" s="1142"/>
      <c r="O53" s="1143"/>
      <c r="P53" s="1141" t="str">
        <f>IF(SUM(P46:R51)=0,"",SUM(P46:R51))</f>
        <v/>
      </c>
      <c r="Q53" s="1142"/>
      <c r="R53" s="1143"/>
    </row>
    <row r="54" spans="2:18" ht="20.100000000000001" customHeight="1">
      <c r="J54" s="1117" t="s">
        <v>1082</v>
      </c>
      <c r="K54" s="1117"/>
      <c r="L54" s="1117"/>
      <c r="M54" s="1141" t="str">
        <f>IF(M53="","",ROUNDDOWN(M53/3,1))</f>
        <v/>
      </c>
      <c r="N54" s="1142"/>
      <c r="O54" s="1143"/>
      <c r="P54" s="1141" t="str">
        <f>IF(P53="","",ROUNDDOWN(P53/3,1))</f>
        <v/>
      </c>
      <c r="Q54" s="1142"/>
      <c r="R54" s="1143"/>
    </row>
    <row r="55" spans="2:18" ht="18.75" customHeight="1">
      <c r="J55" s="1144" t="str">
        <f>$M$15</f>
        <v>介護福祉士</v>
      </c>
      <c r="K55" s="1145"/>
      <c r="L55" s="1145"/>
      <c r="M55" s="1145"/>
      <c r="N55" s="1145"/>
      <c r="O55" s="1146"/>
      <c r="P55" s="1147" t="str">
        <f>IF(M54="","",M54/P54)</f>
        <v/>
      </c>
      <c r="Q55" s="1148"/>
      <c r="R55" s="1149"/>
    </row>
    <row r="56" spans="2:18" ht="18.75" customHeight="1">
      <c r="J56" s="1153" t="s">
        <v>1083</v>
      </c>
      <c r="K56" s="1154"/>
      <c r="L56" s="1154"/>
      <c r="M56" s="1154"/>
      <c r="N56" s="1154"/>
      <c r="O56" s="1155"/>
      <c r="P56" s="1150"/>
      <c r="Q56" s="1151"/>
      <c r="R56" s="1152"/>
    </row>
    <row r="57" spans="2:18" ht="18.75" customHeight="1">
      <c r="J57" s="315"/>
      <c r="K57" s="315"/>
      <c r="L57" s="315"/>
      <c r="M57" s="315"/>
      <c r="N57" s="315"/>
      <c r="O57" s="315"/>
      <c r="P57" s="315"/>
      <c r="Q57" s="315"/>
      <c r="R57" s="330"/>
    </row>
    <row r="59" spans="2:18">
      <c r="B59" s="313" t="s">
        <v>906</v>
      </c>
    </row>
    <row r="60" spans="2:18">
      <c r="B60" s="1156" t="s">
        <v>1085</v>
      </c>
      <c r="C60" s="1156"/>
      <c r="D60" s="1156"/>
      <c r="E60" s="1156"/>
      <c r="F60" s="1156"/>
      <c r="G60" s="1156"/>
      <c r="H60" s="1156"/>
      <c r="I60" s="1156"/>
      <c r="J60" s="1156"/>
      <c r="K60" s="1156"/>
      <c r="L60" s="1156"/>
      <c r="M60" s="1156"/>
      <c r="N60" s="1156"/>
      <c r="O60" s="1156"/>
      <c r="P60" s="1156"/>
      <c r="Q60" s="1156"/>
      <c r="R60" s="1156"/>
    </row>
    <row r="61" spans="2:18">
      <c r="B61" s="1156" t="s">
        <v>1086</v>
      </c>
      <c r="C61" s="1156"/>
      <c r="D61" s="1156"/>
      <c r="E61" s="1156"/>
      <c r="F61" s="1156"/>
      <c r="G61" s="1156"/>
      <c r="H61" s="1156"/>
      <c r="I61" s="1156"/>
      <c r="J61" s="1156"/>
      <c r="K61" s="1156"/>
      <c r="L61" s="1156"/>
      <c r="M61" s="1156"/>
      <c r="N61" s="1156"/>
      <c r="O61" s="1156"/>
      <c r="P61" s="1156"/>
      <c r="Q61" s="1156"/>
      <c r="R61" s="1156"/>
    </row>
    <row r="62" spans="2:18">
      <c r="B62" s="1156" t="s">
        <v>1087</v>
      </c>
      <c r="C62" s="1156"/>
      <c r="D62" s="1156"/>
      <c r="E62" s="1156"/>
      <c r="F62" s="1156"/>
      <c r="G62" s="1156"/>
      <c r="H62" s="1156"/>
      <c r="I62" s="1156"/>
      <c r="J62" s="1156"/>
      <c r="K62" s="1156"/>
      <c r="L62" s="1156"/>
      <c r="M62" s="1156"/>
      <c r="N62" s="1156"/>
      <c r="O62" s="1156"/>
      <c r="P62" s="1156"/>
      <c r="Q62" s="1156"/>
      <c r="R62" s="1156"/>
    </row>
    <row r="63" spans="2:18">
      <c r="B63" s="532" t="s">
        <v>1088</v>
      </c>
      <c r="C63" s="532"/>
      <c r="D63" s="532"/>
      <c r="E63" s="532"/>
      <c r="F63" s="532"/>
      <c r="G63" s="532"/>
      <c r="H63" s="532"/>
      <c r="I63" s="532"/>
      <c r="J63" s="532"/>
      <c r="K63" s="532"/>
      <c r="L63" s="532"/>
      <c r="M63" s="532"/>
      <c r="N63" s="532"/>
      <c r="O63" s="532"/>
      <c r="P63" s="532"/>
      <c r="Q63" s="532"/>
      <c r="R63" s="532"/>
    </row>
    <row r="64" spans="2:18">
      <c r="B64" s="1156" t="s">
        <v>1089</v>
      </c>
      <c r="C64" s="1156"/>
      <c r="D64" s="1156"/>
      <c r="E64" s="1156"/>
      <c r="F64" s="1156"/>
      <c r="G64" s="1156"/>
      <c r="H64" s="1156"/>
      <c r="I64" s="1156"/>
      <c r="J64" s="1156"/>
      <c r="K64" s="1156"/>
      <c r="L64" s="1156"/>
      <c r="M64" s="1156"/>
      <c r="N64" s="1156"/>
      <c r="O64" s="1156"/>
      <c r="P64" s="1156"/>
      <c r="Q64" s="1156"/>
      <c r="R64" s="1156"/>
    </row>
    <row r="65" spans="2:18">
      <c r="B65" s="1156" t="s">
        <v>1090</v>
      </c>
      <c r="C65" s="1156"/>
      <c r="D65" s="1156"/>
      <c r="E65" s="1156"/>
      <c r="F65" s="1156"/>
      <c r="G65" s="1156"/>
      <c r="H65" s="1156"/>
      <c r="I65" s="1156"/>
      <c r="J65" s="1156"/>
      <c r="K65" s="1156"/>
      <c r="L65" s="1156"/>
      <c r="M65" s="1156"/>
      <c r="N65" s="1156"/>
      <c r="O65" s="1156"/>
      <c r="P65" s="1156"/>
      <c r="Q65" s="1156"/>
      <c r="R65" s="1156"/>
    </row>
    <row r="66" spans="2:18">
      <c r="B66" s="1156" t="s">
        <v>1091</v>
      </c>
      <c r="C66" s="1156"/>
      <c r="D66" s="1156"/>
      <c r="E66" s="1156"/>
      <c r="F66" s="1156"/>
      <c r="G66" s="1156"/>
      <c r="H66" s="1156"/>
      <c r="I66" s="1156"/>
      <c r="J66" s="1156"/>
      <c r="K66" s="1156"/>
      <c r="L66" s="1156"/>
      <c r="M66" s="1156"/>
      <c r="N66" s="1156"/>
      <c r="O66" s="1156"/>
      <c r="P66" s="1156"/>
      <c r="Q66" s="1156"/>
      <c r="R66" s="1156"/>
    </row>
    <row r="67" spans="2:18">
      <c r="B67" s="1156" t="s">
        <v>1092</v>
      </c>
      <c r="C67" s="1156"/>
      <c r="D67" s="1156"/>
      <c r="E67" s="1156"/>
      <c r="F67" s="1156"/>
      <c r="G67" s="1156"/>
      <c r="H67" s="1156"/>
      <c r="I67" s="1156"/>
      <c r="J67" s="1156"/>
      <c r="K67" s="1156"/>
      <c r="L67" s="1156"/>
      <c r="M67" s="1156"/>
      <c r="N67" s="1156"/>
      <c r="O67" s="1156"/>
      <c r="P67" s="1156"/>
      <c r="Q67" s="1156"/>
      <c r="R67" s="1156"/>
    </row>
    <row r="68" spans="2:18">
      <c r="B68" s="1156" t="s">
        <v>1093</v>
      </c>
      <c r="C68" s="1156"/>
      <c r="D68" s="1156"/>
      <c r="E68" s="1156"/>
      <c r="F68" s="1156"/>
      <c r="G68" s="1156"/>
      <c r="H68" s="1156"/>
      <c r="I68" s="1156"/>
      <c r="J68" s="1156"/>
      <c r="K68" s="1156"/>
      <c r="L68" s="1156"/>
      <c r="M68" s="1156"/>
      <c r="N68" s="1156"/>
      <c r="O68" s="1156"/>
      <c r="P68" s="1156"/>
      <c r="Q68" s="1156"/>
      <c r="R68" s="1156"/>
    </row>
    <row r="69" spans="2:18">
      <c r="B69" s="1156" t="s">
        <v>1094</v>
      </c>
      <c r="C69" s="1156"/>
      <c r="D69" s="1156"/>
      <c r="E69" s="1156"/>
      <c r="F69" s="1156"/>
      <c r="G69" s="1156"/>
      <c r="H69" s="1156"/>
      <c r="I69" s="1156"/>
      <c r="J69" s="1156"/>
      <c r="K69" s="1156"/>
      <c r="L69" s="1156"/>
      <c r="M69" s="1156"/>
      <c r="N69" s="1156"/>
      <c r="O69" s="1156"/>
      <c r="P69" s="1156"/>
      <c r="Q69" s="1156"/>
      <c r="R69" s="1156"/>
    </row>
    <row r="70" spans="2:18">
      <c r="B70" s="1156" t="s">
        <v>1095</v>
      </c>
      <c r="C70" s="1156"/>
      <c r="D70" s="1156"/>
      <c r="E70" s="1156"/>
      <c r="F70" s="1156"/>
      <c r="G70" s="1156"/>
      <c r="H70" s="1156"/>
      <c r="I70" s="1156"/>
      <c r="J70" s="1156"/>
      <c r="K70" s="1156"/>
      <c r="L70" s="1156"/>
      <c r="M70" s="1156"/>
      <c r="N70" s="1156"/>
      <c r="O70" s="1156"/>
      <c r="P70" s="1156"/>
      <c r="Q70" s="1156"/>
      <c r="R70" s="1156"/>
    </row>
    <row r="71" spans="2:18">
      <c r="B71" s="1156" t="s">
        <v>1096</v>
      </c>
      <c r="C71" s="1156"/>
      <c r="D71" s="1156"/>
      <c r="E71" s="1156"/>
      <c r="F71" s="1156"/>
      <c r="G71" s="1156"/>
      <c r="H71" s="1156"/>
      <c r="I71" s="1156"/>
      <c r="J71" s="1156"/>
      <c r="K71" s="1156"/>
      <c r="L71" s="1156"/>
      <c r="M71" s="1156"/>
      <c r="N71" s="1156"/>
      <c r="O71" s="1156"/>
      <c r="P71" s="1156"/>
      <c r="Q71" s="1156"/>
      <c r="R71" s="1156"/>
    </row>
    <row r="72" spans="2:18">
      <c r="B72" s="1156" t="s">
        <v>1097</v>
      </c>
      <c r="C72" s="1156"/>
      <c r="D72" s="1156"/>
      <c r="E72" s="1156"/>
      <c r="F72" s="1156"/>
      <c r="G72" s="1156"/>
      <c r="H72" s="1156"/>
      <c r="I72" s="1156"/>
      <c r="J72" s="1156"/>
      <c r="K72" s="1156"/>
      <c r="L72" s="1156"/>
      <c r="M72" s="1156"/>
      <c r="N72" s="1156"/>
      <c r="O72" s="1156"/>
      <c r="P72" s="1156"/>
      <c r="Q72" s="1156"/>
      <c r="R72" s="1156"/>
    </row>
    <row r="73" spans="2:18">
      <c r="B73" s="1156" t="s">
        <v>1098</v>
      </c>
      <c r="C73" s="1156"/>
      <c r="D73" s="1156"/>
      <c r="E73" s="1156"/>
      <c r="F73" s="1156"/>
      <c r="G73" s="1156"/>
      <c r="H73" s="1156"/>
      <c r="I73" s="1156"/>
      <c r="J73" s="1156"/>
      <c r="K73" s="1156"/>
      <c r="L73" s="1156"/>
      <c r="M73" s="1156"/>
      <c r="N73" s="1156"/>
      <c r="O73" s="1156"/>
      <c r="P73" s="1156"/>
      <c r="Q73" s="1156"/>
      <c r="R73" s="1156"/>
    </row>
    <row r="74" spans="2:18">
      <c r="B74" s="1156" t="s">
        <v>1099</v>
      </c>
      <c r="C74" s="1156"/>
      <c r="D74" s="1156"/>
      <c r="E74" s="1156"/>
      <c r="F74" s="1156"/>
      <c r="G74" s="1156"/>
      <c r="H74" s="1156"/>
      <c r="I74" s="1156"/>
      <c r="J74" s="1156"/>
      <c r="K74" s="1156"/>
      <c r="L74" s="1156"/>
      <c r="M74" s="1156"/>
      <c r="N74" s="1156"/>
      <c r="O74" s="1156"/>
      <c r="P74" s="1156"/>
      <c r="Q74" s="1156"/>
      <c r="R74" s="1156"/>
    </row>
    <row r="75" spans="2:18">
      <c r="B75" s="1156" t="s">
        <v>1100</v>
      </c>
      <c r="C75" s="1156"/>
      <c r="D75" s="1156"/>
      <c r="E75" s="1156"/>
      <c r="F75" s="1156"/>
      <c r="G75" s="1156"/>
      <c r="H75" s="1156"/>
      <c r="I75" s="1156"/>
      <c r="J75" s="1156"/>
      <c r="K75" s="1156"/>
      <c r="L75" s="1156"/>
      <c r="M75" s="1156"/>
      <c r="N75" s="1156"/>
      <c r="O75" s="1156"/>
      <c r="P75" s="1156"/>
      <c r="Q75" s="1156"/>
      <c r="R75" s="1156"/>
    </row>
    <row r="76" spans="2:18">
      <c r="B76" s="1156" t="s">
        <v>1101</v>
      </c>
      <c r="C76" s="1156"/>
      <c r="D76" s="1156"/>
      <c r="E76" s="1156"/>
      <c r="F76" s="1156"/>
      <c r="G76" s="1156"/>
      <c r="H76" s="1156"/>
      <c r="I76" s="1156"/>
      <c r="J76" s="1156"/>
      <c r="K76" s="1156"/>
      <c r="L76" s="1156"/>
      <c r="M76" s="1156"/>
      <c r="N76" s="1156"/>
      <c r="O76" s="1156"/>
      <c r="P76" s="1156"/>
      <c r="Q76" s="1156"/>
      <c r="R76" s="1156"/>
    </row>
    <row r="77" spans="2:18">
      <c r="B77" s="1156" t="s">
        <v>1102</v>
      </c>
      <c r="C77" s="1156"/>
      <c r="D77" s="1156"/>
      <c r="E77" s="1156"/>
      <c r="F77" s="1156"/>
      <c r="G77" s="1156"/>
      <c r="H77" s="1156"/>
      <c r="I77" s="1156"/>
      <c r="J77" s="1156"/>
      <c r="K77" s="1156"/>
      <c r="L77" s="1156"/>
      <c r="M77" s="1156"/>
      <c r="N77" s="1156"/>
      <c r="O77" s="1156"/>
      <c r="P77" s="1156"/>
      <c r="Q77" s="1156"/>
      <c r="R77" s="1156"/>
    </row>
    <row r="78" spans="2:18">
      <c r="B78" s="1156" t="s">
        <v>1103</v>
      </c>
      <c r="C78" s="1156"/>
      <c r="D78" s="1156"/>
      <c r="E78" s="1156"/>
      <c r="F78" s="1156"/>
      <c r="G78" s="1156"/>
      <c r="H78" s="1156"/>
      <c r="I78" s="1156"/>
      <c r="J78" s="1156"/>
      <c r="K78" s="1156"/>
      <c r="L78" s="1156"/>
      <c r="M78" s="1156"/>
      <c r="N78" s="1156"/>
      <c r="O78" s="1156"/>
      <c r="P78" s="1156"/>
      <c r="Q78" s="1156"/>
      <c r="R78" s="1156"/>
    </row>
    <row r="79" spans="2:18">
      <c r="B79" s="1156" t="s">
        <v>1104</v>
      </c>
      <c r="C79" s="1156"/>
      <c r="D79" s="1156"/>
      <c r="E79" s="1156"/>
      <c r="F79" s="1156"/>
      <c r="G79" s="1156"/>
      <c r="H79" s="1156"/>
      <c r="I79" s="1156"/>
      <c r="J79" s="1156"/>
      <c r="K79" s="1156"/>
      <c r="L79" s="1156"/>
      <c r="M79" s="1156"/>
      <c r="N79" s="1156"/>
      <c r="O79" s="1156"/>
      <c r="P79" s="1156"/>
      <c r="Q79" s="1156"/>
      <c r="R79" s="1156"/>
    </row>
    <row r="80" spans="2:18">
      <c r="B80" s="1156" t="s">
        <v>1105</v>
      </c>
      <c r="C80" s="1156"/>
      <c r="D80" s="1156"/>
      <c r="E80" s="1156"/>
      <c r="F80" s="1156"/>
      <c r="G80" s="1156"/>
      <c r="H80" s="1156"/>
      <c r="I80" s="1156"/>
      <c r="J80" s="1156"/>
      <c r="K80" s="1156"/>
      <c r="L80" s="1156"/>
      <c r="M80" s="1156"/>
      <c r="N80" s="1156"/>
      <c r="O80" s="1156"/>
      <c r="P80" s="1156"/>
      <c r="Q80" s="1156"/>
      <c r="R80" s="1156"/>
    </row>
    <row r="81" spans="2:18">
      <c r="B81" s="1156" t="s">
        <v>1106</v>
      </c>
      <c r="C81" s="1156"/>
      <c r="D81" s="1156"/>
      <c r="E81" s="1156"/>
      <c r="F81" s="1156"/>
      <c r="G81" s="1156"/>
      <c r="H81" s="1156"/>
      <c r="I81" s="1156"/>
      <c r="J81" s="1156"/>
      <c r="K81" s="1156"/>
      <c r="L81" s="1156"/>
      <c r="M81" s="1156"/>
      <c r="N81" s="1156"/>
      <c r="O81" s="1156"/>
      <c r="P81" s="1156"/>
      <c r="Q81" s="1156"/>
      <c r="R81" s="1156"/>
    </row>
    <row r="82" spans="2:18">
      <c r="B82" s="1156" t="s">
        <v>1107</v>
      </c>
      <c r="C82" s="1156"/>
      <c r="D82" s="1156"/>
      <c r="E82" s="1156"/>
      <c r="F82" s="1156"/>
      <c r="G82" s="1156"/>
      <c r="H82" s="1156"/>
      <c r="I82" s="1156"/>
      <c r="J82" s="1156"/>
      <c r="K82" s="1156"/>
      <c r="L82" s="1156"/>
      <c r="M82" s="1156"/>
      <c r="N82" s="1156"/>
      <c r="O82" s="1156"/>
      <c r="P82" s="1156"/>
      <c r="Q82" s="1156"/>
      <c r="R82" s="1156"/>
    </row>
    <row r="83" spans="2:18">
      <c r="B83" s="1157" t="s">
        <v>1108</v>
      </c>
      <c r="C83" s="1156"/>
      <c r="D83" s="1156"/>
      <c r="E83" s="1156"/>
      <c r="F83" s="1156"/>
      <c r="G83" s="1156"/>
      <c r="H83" s="1156"/>
      <c r="I83" s="1156"/>
      <c r="J83" s="1156"/>
      <c r="K83" s="1156"/>
      <c r="L83" s="1156"/>
      <c r="M83" s="1156"/>
      <c r="N83" s="1156"/>
      <c r="O83" s="1156"/>
      <c r="P83" s="1156"/>
      <c r="Q83" s="1156"/>
      <c r="R83" s="1156"/>
    </row>
    <row r="84" spans="2:18">
      <c r="B84" s="1156" t="s">
        <v>1109</v>
      </c>
      <c r="C84" s="1156"/>
      <c r="D84" s="1156"/>
      <c r="E84" s="1156"/>
      <c r="F84" s="1156"/>
      <c r="G84" s="1156"/>
      <c r="H84" s="1156"/>
      <c r="I84" s="1156"/>
      <c r="J84" s="1156"/>
      <c r="K84" s="1156"/>
      <c r="L84" s="1156"/>
      <c r="M84" s="1156"/>
      <c r="N84" s="1156"/>
      <c r="O84" s="1156"/>
      <c r="P84" s="1156"/>
      <c r="Q84" s="1156"/>
      <c r="R84" s="1156"/>
    </row>
    <row r="85" spans="2:18">
      <c r="B85" s="1156" t="s">
        <v>1110</v>
      </c>
      <c r="C85" s="1156"/>
      <c r="D85" s="1156"/>
      <c r="E85" s="1156"/>
      <c r="F85" s="1156"/>
      <c r="G85" s="1156"/>
      <c r="H85" s="1156"/>
      <c r="I85" s="1156"/>
      <c r="J85" s="1156"/>
      <c r="K85" s="1156"/>
      <c r="L85" s="1156"/>
      <c r="M85" s="1156"/>
      <c r="N85" s="1156"/>
      <c r="O85" s="1156"/>
      <c r="P85" s="1156"/>
      <c r="Q85" s="1156"/>
      <c r="R85" s="1156"/>
    </row>
    <row r="86" spans="2:18">
      <c r="B86" s="1156"/>
      <c r="C86" s="1156"/>
      <c r="D86" s="1156"/>
      <c r="E86" s="1156"/>
      <c r="F86" s="1156"/>
      <c r="G86" s="1156"/>
      <c r="H86" s="1156"/>
      <c r="I86" s="1156"/>
      <c r="J86" s="1156"/>
      <c r="K86" s="1156"/>
      <c r="L86" s="1156"/>
      <c r="M86" s="1156"/>
      <c r="N86" s="1156"/>
      <c r="O86" s="1156"/>
      <c r="P86" s="1156"/>
      <c r="Q86" s="1156"/>
      <c r="R86" s="1156"/>
    </row>
    <row r="87" spans="2:18">
      <c r="B87" s="1156"/>
      <c r="C87" s="1156"/>
      <c r="D87" s="1156"/>
      <c r="E87" s="1156"/>
      <c r="F87" s="1156"/>
      <c r="G87" s="1156"/>
      <c r="H87" s="1156"/>
      <c r="I87" s="1156"/>
      <c r="J87" s="1156"/>
      <c r="K87" s="1156"/>
      <c r="L87" s="1156"/>
      <c r="M87" s="1156"/>
      <c r="N87" s="1156"/>
      <c r="O87" s="1156"/>
      <c r="P87" s="1156"/>
      <c r="Q87" s="1156"/>
      <c r="R87" s="1156"/>
    </row>
    <row r="88" spans="2:18">
      <c r="B88" s="1156"/>
      <c r="C88" s="1156"/>
      <c r="D88" s="1156"/>
      <c r="E88" s="1156"/>
      <c r="F88" s="1156"/>
      <c r="G88" s="1156"/>
      <c r="H88" s="1156"/>
      <c r="I88" s="1156"/>
      <c r="J88" s="1156"/>
      <c r="K88" s="1156"/>
      <c r="L88" s="1156"/>
      <c r="M88" s="1156"/>
      <c r="N88" s="1156"/>
      <c r="O88" s="1156"/>
      <c r="P88" s="1156"/>
      <c r="Q88" s="1156"/>
      <c r="R88" s="1156"/>
    </row>
    <row r="89" spans="2:18">
      <c r="B89" s="1156"/>
      <c r="C89" s="1156"/>
      <c r="D89" s="1156"/>
      <c r="E89" s="1156"/>
      <c r="F89" s="1156"/>
      <c r="G89" s="1156"/>
      <c r="H89" s="1156"/>
      <c r="I89" s="1156"/>
      <c r="J89" s="1156"/>
      <c r="K89" s="1156"/>
      <c r="L89" s="1156"/>
      <c r="M89" s="1156"/>
      <c r="N89" s="1156"/>
      <c r="O89" s="1156"/>
      <c r="P89" s="1156"/>
      <c r="Q89" s="1156"/>
      <c r="R89" s="1156"/>
    </row>
    <row r="90" spans="2:18">
      <c r="B90" s="1156"/>
      <c r="C90" s="1156"/>
      <c r="D90" s="1156"/>
      <c r="E90" s="1156"/>
      <c r="F90" s="1156"/>
      <c r="G90" s="1156"/>
      <c r="H90" s="1156"/>
      <c r="I90" s="1156"/>
      <c r="J90" s="1156"/>
      <c r="K90" s="1156"/>
      <c r="L90" s="1156"/>
      <c r="M90" s="1156"/>
      <c r="N90" s="1156"/>
      <c r="O90" s="1156"/>
      <c r="P90" s="1156"/>
      <c r="Q90" s="1156"/>
      <c r="R90" s="1156"/>
    </row>
    <row r="91" spans="2:18">
      <c r="B91" s="1156"/>
      <c r="C91" s="1156"/>
      <c r="D91" s="1156"/>
      <c r="E91" s="1156"/>
      <c r="F91" s="1156"/>
      <c r="G91" s="1156"/>
      <c r="H91" s="1156"/>
      <c r="I91" s="1156"/>
      <c r="J91" s="1156"/>
      <c r="K91" s="1156"/>
      <c r="L91" s="1156"/>
      <c r="M91" s="1156"/>
      <c r="N91" s="1156"/>
      <c r="O91" s="1156"/>
      <c r="P91" s="1156"/>
      <c r="Q91" s="1156"/>
      <c r="R91" s="1156"/>
    </row>
    <row r="92" spans="2:18">
      <c r="B92" s="1156"/>
      <c r="C92" s="1156"/>
      <c r="D92" s="1156"/>
      <c r="E92" s="1156"/>
      <c r="F92" s="1156"/>
      <c r="G92" s="1156"/>
      <c r="H92" s="1156"/>
      <c r="I92" s="1156"/>
      <c r="J92" s="1156"/>
      <c r="K92" s="1156"/>
      <c r="L92" s="1156"/>
      <c r="M92" s="1156"/>
      <c r="N92" s="1156"/>
      <c r="O92" s="1156"/>
      <c r="P92" s="1156"/>
      <c r="Q92" s="1156"/>
      <c r="R92" s="1156"/>
    </row>
    <row r="93" spans="2:18">
      <c r="B93" s="1156"/>
      <c r="C93" s="1156"/>
      <c r="D93" s="1156"/>
      <c r="E93" s="1156"/>
      <c r="F93" s="1156"/>
      <c r="G93" s="1156"/>
      <c r="H93" s="1156"/>
      <c r="I93" s="1156"/>
      <c r="J93" s="1156"/>
      <c r="K93" s="1156"/>
      <c r="L93" s="1156"/>
      <c r="M93" s="1156"/>
      <c r="N93" s="1156"/>
      <c r="O93" s="1156"/>
      <c r="P93" s="1156"/>
      <c r="Q93" s="1156"/>
      <c r="R93" s="1156"/>
    </row>
    <row r="94" spans="2:18">
      <c r="B94" s="1156"/>
      <c r="C94" s="1156"/>
      <c r="D94" s="1156"/>
      <c r="E94" s="1156"/>
      <c r="F94" s="1156"/>
      <c r="G94" s="1156"/>
      <c r="H94" s="1156"/>
      <c r="I94" s="1156"/>
      <c r="J94" s="1156"/>
      <c r="K94" s="1156"/>
      <c r="L94" s="1156"/>
      <c r="M94" s="1156"/>
      <c r="N94" s="1156"/>
      <c r="O94" s="1156"/>
      <c r="P94" s="1156"/>
      <c r="Q94" s="1156"/>
      <c r="R94" s="1156"/>
    </row>
    <row r="147" spans="1:1">
      <c r="A147" s="549"/>
    </row>
    <row r="183" spans="1:1">
      <c r="A183" s="551"/>
    </row>
    <row r="234" spans="1:1">
      <c r="A234" s="551"/>
    </row>
    <row r="283" spans="1:1">
      <c r="A283" s="551"/>
    </row>
    <row r="310" spans="1:1">
      <c r="A310" s="549"/>
    </row>
    <row r="360" spans="1:1">
      <c r="A360" s="551"/>
    </row>
    <row r="384" spans="1:1">
      <c r="A384" s="549"/>
    </row>
    <row r="412" spans="1:1">
      <c r="A412" s="549"/>
    </row>
    <row r="440" spans="1:1">
      <c r="A440" s="549"/>
    </row>
    <row r="464" spans="1:1">
      <c r="A464" s="549"/>
    </row>
    <row r="493" spans="1:1">
      <c r="A493" s="549"/>
    </row>
    <row r="522" spans="1:1">
      <c r="A522" s="549"/>
    </row>
    <row r="571" spans="1:1">
      <c r="A571" s="551"/>
    </row>
    <row r="602" spans="1:1">
      <c r="A602" s="551"/>
    </row>
    <row r="646" spans="1:1">
      <c r="A646" s="551"/>
    </row>
    <row r="682" spans="1:1">
      <c r="A682" s="549"/>
    </row>
    <row r="721" spans="1:1">
      <c r="A721" s="551"/>
    </row>
    <row r="750" spans="1:1">
      <c r="A750" s="551"/>
    </row>
    <row r="789" spans="1:1">
      <c r="A789" s="551"/>
    </row>
    <row r="828" spans="1:1">
      <c r="A828" s="551"/>
    </row>
    <row r="856" spans="1:1">
      <c r="A856" s="551"/>
    </row>
    <row r="896" spans="1:1">
      <c r="A896" s="551"/>
    </row>
    <row r="936" spans="1:1">
      <c r="A936" s="551"/>
    </row>
    <row r="965" spans="1:1">
      <c r="A965" s="55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
  <dataValidations count="3">
    <dataValidation type="list" allowBlank="1" showInputMessage="1" showErrorMessage="1" sqref="F8:I8 JB8:JE8 SX8:TA8 ACT8:ACW8 AMP8:AMS8 AWL8:AWO8 BGH8:BGK8 BQD8:BQG8 BZZ8:CAC8 CJV8:CJY8 CTR8:CTU8 DDN8:DDQ8 DNJ8:DNM8 DXF8:DXI8 EHB8:EHE8 EQX8:ERA8 FAT8:FAW8 FKP8:FKS8 FUL8:FUO8 GEH8:GEK8 GOD8:GOG8 GXZ8:GYC8 HHV8:HHY8 HRR8:HRU8 IBN8:IBQ8 ILJ8:ILM8 IVF8:IVI8 JFB8:JFE8 JOX8:JPA8 JYT8:JYW8 KIP8:KIS8 KSL8:KSO8 LCH8:LCK8 LMD8:LMG8 LVZ8:LWC8 MFV8:MFY8 MPR8:MPU8 MZN8:MZQ8 NJJ8:NJM8 NTF8:NTI8 ODB8:ODE8 OMX8:ONA8 OWT8:OWW8 PGP8:PGS8 PQL8:PQO8 QAH8:QAK8 QKD8:QKG8 QTZ8:QUC8 RDV8:RDY8 RNR8:RNU8 RXN8:RXQ8 SHJ8:SHM8 SRF8:SRI8 TBB8:TBE8 TKX8:TLA8 TUT8:TUW8 UEP8:UES8 UOL8:UOO8 UYH8:UYK8 VID8:VIG8 VRZ8:VSC8 WBV8:WBY8 WLR8:WLU8 WVN8:WVQ8 F65544:I65544 JB65544:JE65544 SX65544:TA65544 ACT65544:ACW65544 AMP65544:AMS65544 AWL65544:AWO65544 BGH65544:BGK65544 BQD65544:BQG65544 BZZ65544:CAC65544 CJV65544:CJY65544 CTR65544:CTU65544 DDN65544:DDQ65544 DNJ65544:DNM65544 DXF65544:DXI65544 EHB65544:EHE65544 EQX65544:ERA65544 FAT65544:FAW65544 FKP65544:FKS65544 FUL65544:FUO65544 GEH65544:GEK65544 GOD65544:GOG65544 GXZ65544:GYC65544 HHV65544:HHY65544 HRR65544:HRU65544 IBN65544:IBQ65544 ILJ65544:ILM65544 IVF65544:IVI65544 JFB65544:JFE65544 JOX65544:JPA65544 JYT65544:JYW65544 KIP65544:KIS65544 KSL65544:KSO65544 LCH65544:LCK65544 LMD65544:LMG65544 LVZ65544:LWC65544 MFV65544:MFY65544 MPR65544:MPU65544 MZN65544:MZQ65544 NJJ65544:NJM65544 NTF65544:NTI65544 ODB65544:ODE65544 OMX65544:ONA65544 OWT65544:OWW65544 PGP65544:PGS65544 PQL65544:PQO65544 QAH65544:QAK65544 QKD65544:QKG65544 QTZ65544:QUC65544 RDV65544:RDY65544 RNR65544:RNU65544 RXN65544:RXQ65544 SHJ65544:SHM65544 SRF65544:SRI65544 TBB65544:TBE65544 TKX65544:TLA65544 TUT65544:TUW65544 UEP65544:UES65544 UOL65544:UOO65544 UYH65544:UYK65544 VID65544:VIG65544 VRZ65544:VSC65544 WBV65544:WBY65544 WLR65544:WLU65544 WVN65544:WVQ65544 F131080:I131080 JB131080:JE131080 SX131080:TA131080 ACT131080:ACW131080 AMP131080:AMS131080 AWL131080:AWO131080 BGH131080:BGK131080 BQD131080:BQG131080 BZZ131080:CAC131080 CJV131080:CJY131080 CTR131080:CTU131080 DDN131080:DDQ131080 DNJ131080:DNM131080 DXF131080:DXI131080 EHB131080:EHE131080 EQX131080:ERA131080 FAT131080:FAW131080 FKP131080:FKS131080 FUL131080:FUO131080 GEH131080:GEK131080 GOD131080:GOG131080 GXZ131080:GYC131080 HHV131080:HHY131080 HRR131080:HRU131080 IBN131080:IBQ131080 ILJ131080:ILM131080 IVF131080:IVI131080 JFB131080:JFE131080 JOX131080:JPA131080 JYT131080:JYW131080 KIP131080:KIS131080 KSL131080:KSO131080 LCH131080:LCK131080 LMD131080:LMG131080 LVZ131080:LWC131080 MFV131080:MFY131080 MPR131080:MPU131080 MZN131080:MZQ131080 NJJ131080:NJM131080 NTF131080:NTI131080 ODB131080:ODE131080 OMX131080:ONA131080 OWT131080:OWW131080 PGP131080:PGS131080 PQL131080:PQO131080 QAH131080:QAK131080 QKD131080:QKG131080 QTZ131080:QUC131080 RDV131080:RDY131080 RNR131080:RNU131080 RXN131080:RXQ131080 SHJ131080:SHM131080 SRF131080:SRI131080 TBB131080:TBE131080 TKX131080:TLA131080 TUT131080:TUW131080 UEP131080:UES131080 UOL131080:UOO131080 UYH131080:UYK131080 VID131080:VIG131080 VRZ131080:VSC131080 WBV131080:WBY131080 WLR131080:WLU131080 WVN131080:WVQ131080 F196616:I196616 JB196616:JE196616 SX196616:TA196616 ACT196616:ACW196616 AMP196616:AMS196616 AWL196616:AWO196616 BGH196616:BGK196616 BQD196616:BQG196616 BZZ196616:CAC196616 CJV196616:CJY196616 CTR196616:CTU196616 DDN196616:DDQ196616 DNJ196616:DNM196616 DXF196616:DXI196616 EHB196616:EHE196616 EQX196616:ERA196616 FAT196616:FAW196616 FKP196616:FKS196616 FUL196616:FUO196616 GEH196616:GEK196616 GOD196616:GOG196616 GXZ196616:GYC196616 HHV196616:HHY196616 HRR196616:HRU196616 IBN196616:IBQ196616 ILJ196616:ILM196616 IVF196616:IVI196616 JFB196616:JFE196616 JOX196616:JPA196616 JYT196616:JYW196616 KIP196616:KIS196616 KSL196616:KSO196616 LCH196616:LCK196616 LMD196616:LMG196616 LVZ196616:LWC196616 MFV196616:MFY196616 MPR196616:MPU196616 MZN196616:MZQ196616 NJJ196616:NJM196616 NTF196616:NTI196616 ODB196616:ODE196616 OMX196616:ONA196616 OWT196616:OWW196616 PGP196616:PGS196616 PQL196616:PQO196616 QAH196616:QAK196616 QKD196616:QKG196616 QTZ196616:QUC196616 RDV196616:RDY196616 RNR196616:RNU196616 RXN196616:RXQ196616 SHJ196616:SHM196616 SRF196616:SRI196616 TBB196616:TBE196616 TKX196616:TLA196616 TUT196616:TUW196616 UEP196616:UES196616 UOL196616:UOO196616 UYH196616:UYK196616 VID196616:VIG196616 VRZ196616:VSC196616 WBV196616:WBY196616 WLR196616:WLU196616 WVN196616:WVQ196616 F262152:I262152 JB262152:JE262152 SX262152:TA262152 ACT262152:ACW262152 AMP262152:AMS262152 AWL262152:AWO262152 BGH262152:BGK262152 BQD262152:BQG262152 BZZ262152:CAC262152 CJV262152:CJY262152 CTR262152:CTU262152 DDN262152:DDQ262152 DNJ262152:DNM262152 DXF262152:DXI262152 EHB262152:EHE262152 EQX262152:ERA262152 FAT262152:FAW262152 FKP262152:FKS262152 FUL262152:FUO262152 GEH262152:GEK262152 GOD262152:GOG262152 GXZ262152:GYC262152 HHV262152:HHY262152 HRR262152:HRU262152 IBN262152:IBQ262152 ILJ262152:ILM262152 IVF262152:IVI262152 JFB262152:JFE262152 JOX262152:JPA262152 JYT262152:JYW262152 KIP262152:KIS262152 KSL262152:KSO262152 LCH262152:LCK262152 LMD262152:LMG262152 LVZ262152:LWC262152 MFV262152:MFY262152 MPR262152:MPU262152 MZN262152:MZQ262152 NJJ262152:NJM262152 NTF262152:NTI262152 ODB262152:ODE262152 OMX262152:ONA262152 OWT262152:OWW262152 PGP262152:PGS262152 PQL262152:PQO262152 QAH262152:QAK262152 QKD262152:QKG262152 QTZ262152:QUC262152 RDV262152:RDY262152 RNR262152:RNU262152 RXN262152:RXQ262152 SHJ262152:SHM262152 SRF262152:SRI262152 TBB262152:TBE262152 TKX262152:TLA262152 TUT262152:TUW262152 UEP262152:UES262152 UOL262152:UOO262152 UYH262152:UYK262152 VID262152:VIG262152 VRZ262152:VSC262152 WBV262152:WBY262152 WLR262152:WLU262152 WVN262152:WVQ262152 F327688:I327688 JB327688:JE327688 SX327688:TA327688 ACT327688:ACW327688 AMP327688:AMS327688 AWL327688:AWO327688 BGH327688:BGK327688 BQD327688:BQG327688 BZZ327688:CAC327688 CJV327688:CJY327688 CTR327688:CTU327688 DDN327688:DDQ327688 DNJ327688:DNM327688 DXF327688:DXI327688 EHB327688:EHE327688 EQX327688:ERA327688 FAT327688:FAW327688 FKP327688:FKS327688 FUL327688:FUO327688 GEH327688:GEK327688 GOD327688:GOG327688 GXZ327688:GYC327688 HHV327688:HHY327688 HRR327688:HRU327688 IBN327688:IBQ327688 ILJ327688:ILM327688 IVF327688:IVI327688 JFB327688:JFE327688 JOX327688:JPA327688 JYT327688:JYW327688 KIP327688:KIS327688 KSL327688:KSO327688 LCH327688:LCK327688 LMD327688:LMG327688 LVZ327688:LWC327688 MFV327688:MFY327688 MPR327688:MPU327688 MZN327688:MZQ327688 NJJ327688:NJM327688 NTF327688:NTI327688 ODB327688:ODE327688 OMX327688:ONA327688 OWT327688:OWW327688 PGP327688:PGS327688 PQL327688:PQO327688 QAH327688:QAK327688 QKD327688:QKG327688 QTZ327688:QUC327688 RDV327688:RDY327688 RNR327688:RNU327688 RXN327688:RXQ327688 SHJ327688:SHM327688 SRF327688:SRI327688 TBB327688:TBE327688 TKX327688:TLA327688 TUT327688:TUW327688 UEP327688:UES327688 UOL327688:UOO327688 UYH327688:UYK327688 VID327688:VIG327688 VRZ327688:VSC327688 WBV327688:WBY327688 WLR327688:WLU327688 WVN327688:WVQ327688 F393224:I393224 JB393224:JE393224 SX393224:TA393224 ACT393224:ACW393224 AMP393224:AMS393224 AWL393224:AWO393224 BGH393224:BGK393224 BQD393224:BQG393224 BZZ393224:CAC393224 CJV393224:CJY393224 CTR393224:CTU393224 DDN393224:DDQ393224 DNJ393224:DNM393224 DXF393224:DXI393224 EHB393224:EHE393224 EQX393224:ERA393224 FAT393224:FAW393224 FKP393224:FKS393224 FUL393224:FUO393224 GEH393224:GEK393224 GOD393224:GOG393224 GXZ393224:GYC393224 HHV393224:HHY393224 HRR393224:HRU393224 IBN393224:IBQ393224 ILJ393224:ILM393224 IVF393224:IVI393224 JFB393224:JFE393224 JOX393224:JPA393224 JYT393224:JYW393224 KIP393224:KIS393224 KSL393224:KSO393224 LCH393224:LCK393224 LMD393224:LMG393224 LVZ393224:LWC393224 MFV393224:MFY393224 MPR393224:MPU393224 MZN393224:MZQ393224 NJJ393224:NJM393224 NTF393224:NTI393224 ODB393224:ODE393224 OMX393224:ONA393224 OWT393224:OWW393224 PGP393224:PGS393224 PQL393224:PQO393224 QAH393224:QAK393224 QKD393224:QKG393224 QTZ393224:QUC393224 RDV393224:RDY393224 RNR393224:RNU393224 RXN393224:RXQ393224 SHJ393224:SHM393224 SRF393224:SRI393224 TBB393224:TBE393224 TKX393224:TLA393224 TUT393224:TUW393224 UEP393224:UES393224 UOL393224:UOO393224 UYH393224:UYK393224 VID393224:VIG393224 VRZ393224:VSC393224 WBV393224:WBY393224 WLR393224:WLU393224 WVN393224:WVQ393224 F458760:I458760 JB458760:JE458760 SX458760:TA458760 ACT458760:ACW458760 AMP458760:AMS458760 AWL458760:AWO458760 BGH458760:BGK458760 BQD458760:BQG458760 BZZ458760:CAC458760 CJV458760:CJY458760 CTR458760:CTU458760 DDN458760:DDQ458760 DNJ458760:DNM458760 DXF458760:DXI458760 EHB458760:EHE458760 EQX458760:ERA458760 FAT458760:FAW458760 FKP458760:FKS458760 FUL458760:FUO458760 GEH458760:GEK458760 GOD458760:GOG458760 GXZ458760:GYC458760 HHV458760:HHY458760 HRR458760:HRU458760 IBN458760:IBQ458760 ILJ458760:ILM458760 IVF458760:IVI458760 JFB458760:JFE458760 JOX458760:JPA458760 JYT458760:JYW458760 KIP458760:KIS458760 KSL458760:KSO458760 LCH458760:LCK458760 LMD458760:LMG458760 LVZ458760:LWC458760 MFV458760:MFY458760 MPR458760:MPU458760 MZN458760:MZQ458760 NJJ458760:NJM458760 NTF458760:NTI458760 ODB458760:ODE458760 OMX458760:ONA458760 OWT458760:OWW458760 PGP458760:PGS458760 PQL458760:PQO458760 QAH458760:QAK458760 QKD458760:QKG458760 QTZ458760:QUC458760 RDV458760:RDY458760 RNR458760:RNU458760 RXN458760:RXQ458760 SHJ458760:SHM458760 SRF458760:SRI458760 TBB458760:TBE458760 TKX458760:TLA458760 TUT458760:TUW458760 UEP458760:UES458760 UOL458760:UOO458760 UYH458760:UYK458760 VID458760:VIG458760 VRZ458760:VSC458760 WBV458760:WBY458760 WLR458760:WLU458760 WVN458760:WVQ458760 F524296:I524296 JB524296:JE524296 SX524296:TA524296 ACT524296:ACW524296 AMP524296:AMS524296 AWL524296:AWO524296 BGH524296:BGK524296 BQD524296:BQG524296 BZZ524296:CAC524296 CJV524296:CJY524296 CTR524296:CTU524296 DDN524296:DDQ524296 DNJ524296:DNM524296 DXF524296:DXI524296 EHB524296:EHE524296 EQX524296:ERA524296 FAT524296:FAW524296 FKP524296:FKS524296 FUL524296:FUO524296 GEH524296:GEK524296 GOD524296:GOG524296 GXZ524296:GYC524296 HHV524296:HHY524296 HRR524296:HRU524296 IBN524296:IBQ524296 ILJ524296:ILM524296 IVF524296:IVI524296 JFB524296:JFE524296 JOX524296:JPA524296 JYT524296:JYW524296 KIP524296:KIS524296 KSL524296:KSO524296 LCH524296:LCK524296 LMD524296:LMG524296 LVZ524296:LWC524296 MFV524296:MFY524296 MPR524296:MPU524296 MZN524296:MZQ524296 NJJ524296:NJM524296 NTF524296:NTI524296 ODB524296:ODE524296 OMX524296:ONA524296 OWT524296:OWW524296 PGP524296:PGS524296 PQL524296:PQO524296 QAH524296:QAK524296 QKD524296:QKG524296 QTZ524296:QUC524296 RDV524296:RDY524296 RNR524296:RNU524296 RXN524296:RXQ524296 SHJ524296:SHM524296 SRF524296:SRI524296 TBB524296:TBE524296 TKX524296:TLA524296 TUT524296:TUW524296 UEP524296:UES524296 UOL524296:UOO524296 UYH524296:UYK524296 VID524296:VIG524296 VRZ524296:VSC524296 WBV524296:WBY524296 WLR524296:WLU524296 WVN524296:WVQ524296 F589832:I589832 JB589832:JE589832 SX589832:TA589832 ACT589832:ACW589832 AMP589832:AMS589832 AWL589832:AWO589832 BGH589832:BGK589832 BQD589832:BQG589832 BZZ589832:CAC589832 CJV589832:CJY589832 CTR589832:CTU589832 DDN589832:DDQ589832 DNJ589832:DNM589832 DXF589832:DXI589832 EHB589832:EHE589832 EQX589832:ERA589832 FAT589832:FAW589832 FKP589832:FKS589832 FUL589832:FUO589832 GEH589832:GEK589832 GOD589832:GOG589832 GXZ589832:GYC589832 HHV589832:HHY589832 HRR589832:HRU589832 IBN589832:IBQ589832 ILJ589832:ILM589832 IVF589832:IVI589832 JFB589832:JFE589832 JOX589832:JPA589832 JYT589832:JYW589832 KIP589832:KIS589832 KSL589832:KSO589832 LCH589832:LCK589832 LMD589832:LMG589832 LVZ589832:LWC589832 MFV589832:MFY589832 MPR589832:MPU589832 MZN589832:MZQ589832 NJJ589832:NJM589832 NTF589832:NTI589832 ODB589832:ODE589832 OMX589832:ONA589832 OWT589832:OWW589832 PGP589832:PGS589832 PQL589832:PQO589832 QAH589832:QAK589832 QKD589832:QKG589832 QTZ589832:QUC589832 RDV589832:RDY589832 RNR589832:RNU589832 RXN589832:RXQ589832 SHJ589832:SHM589832 SRF589832:SRI589832 TBB589832:TBE589832 TKX589832:TLA589832 TUT589832:TUW589832 UEP589832:UES589832 UOL589832:UOO589832 UYH589832:UYK589832 VID589832:VIG589832 VRZ589832:VSC589832 WBV589832:WBY589832 WLR589832:WLU589832 WVN589832:WVQ589832 F655368:I655368 JB655368:JE655368 SX655368:TA655368 ACT655368:ACW655368 AMP655368:AMS655368 AWL655368:AWO655368 BGH655368:BGK655368 BQD655368:BQG655368 BZZ655368:CAC655368 CJV655368:CJY655368 CTR655368:CTU655368 DDN655368:DDQ655368 DNJ655368:DNM655368 DXF655368:DXI655368 EHB655368:EHE655368 EQX655368:ERA655368 FAT655368:FAW655368 FKP655368:FKS655368 FUL655368:FUO655368 GEH655368:GEK655368 GOD655368:GOG655368 GXZ655368:GYC655368 HHV655368:HHY655368 HRR655368:HRU655368 IBN655368:IBQ655368 ILJ655368:ILM655368 IVF655368:IVI655368 JFB655368:JFE655368 JOX655368:JPA655368 JYT655368:JYW655368 KIP655368:KIS655368 KSL655368:KSO655368 LCH655368:LCK655368 LMD655368:LMG655368 LVZ655368:LWC655368 MFV655368:MFY655368 MPR655368:MPU655368 MZN655368:MZQ655368 NJJ655368:NJM655368 NTF655368:NTI655368 ODB655368:ODE655368 OMX655368:ONA655368 OWT655368:OWW655368 PGP655368:PGS655368 PQL655368:PQO655368 QAH655368:QAK655368 QKD655368:QKG655368 QTZ655368:QUC655368 RDV655368:RDY655368 RNR655368:RNU655368 RXN655368:RXQ655368 SHJ655368:SHM655368 SRF655368:SRI655368 TBB655368:TBE655368 TKX655368:TLA655368 TUT655368:TUW655368 UEP655368:UES655368 UOL655368:UOO655368 UYH655368:UYK655368 VID655368:VIG655368 VRZ655368:VSC655368 WBV655368:WBY655368 WLR655368:WLU655368 WVN655368:WVQ655368 F720904:I720904 JB720904:JE720904 SX720904:TA720904 ACT720904:ACW720904 AMP720904:AMS720904 AWL720904:AWO720904 BGH720904:BGK720904 BQD720904:BQG720904 BZZ720904:CAC720904 CJV720904:CJY720904 CTR720904:CTU720904 DDN720904:DDQ720904 DNJ720904:DNM720904 DXF720904:DXI720904 EHB720904:EHE720904 EQX720904:ERA720904 FAT720904:FAW720904 FKP720904:FKS720904 FUL720904:FUO720904 GEH720904:GEK720904 GOD720904:GOG720904 GXZ720904:GYC720904 HHV720904:HHY720904 HRR720904:HRU720904 IBN720904:IBQ720904 ILJ720904:ILM720904 IVF720904:IVI720904 JFB720904:JFE720904 JOX720904:JPA720904 JYT720904:JYW720904 KIP720904:KIS720904 KSL720904:KSO720904 LCH720904:LCK720904 LMD720904:LMG720904 LVZ720904:LWC720904 MFV720904:MFY720904 MPR720904:MPU720904 MZN720904:MZQ720904 NJJ720904:NJM720904 NTF720904:NTI720904 ODB720904:ODE720904 OMX720904:ONA720904 OWT720904:OWW720904 PGP720904:PGS720904 PQL720904:PQO720904 QAH720904:QAK720904 QKD720904:QKG720904 QTZ720904:QUC720904 RDV720904:RDY720904 RNR720904:RNU720904 RXN720904:RXQ720904 SHJ720904:SHM720904 SRF720904:SRI720904 TBB720904:TBE720904 TKX720904:TLA720904 TUT720904:TUW720904 UEP720904:UES720904 UOL720904:UOO720904 UYH720904:UYK720904 VID720904:VIG720904 VRZ720904:VSC720904 WBV720904:WBY720904 WLR720904:WLU720904 WVN720904:WVQ720904 F786440:I786440 JB786440:JE786440 SX786440:TA786440 ACT786440:ACW786440 AMP786440:AMS786440 AWL786440:AWO786440 BGH786440:BGK786440 BQD786440:BQG786440 BZZ786440:CAC786440 CJV786440:CJY786440 CTR786440:CTU786440 DDN786440:DDQ786440 DNJ786440:DNM786440 DXF786440:DXI786440 EHB786440:EHE786440 EQX786440:ERA786440 FAT786440:FAW786440 FKP786440:FKS786440 FUL786440:FUO786440 GEH786440:GEK786440 GOD786440:GOG786440 GXZ786440:GYC786440 HHV786440:HHY786440 HRR786440:HRU786440 IBN786440:IBQ786440 ILJ786440:ILM786440 IVF786440:IVI786440 JFB786440:JFE786440 JOX786440:JPA786440 JYT786440:JYW786440 KIP786440:KIS786440 KSL786440:KSO786440 LCH786440:LCK786440 LMD786440:LMG786440 LVZ786440:LWC786440 MFV786440:MFY786440 MPR786440:MPU786440 MZN786440:MZQ786440 NJJ786440:NJM786440 NTF786440:NTI786440 ODB786440:ODE786440 OMX786440:ONA786440 OWT786440:OWW786440 PGP786440:PGS786440 PQL786440:PQO786440 QAH786440:QAK786440 QKD786440:QKG786440 QTZ786440:QUC786440 RDV786440:RDY786440 RNR786440:RNU786440 RXN786440:RXQ786440 SHJ786440:SHM786440 SRF786440:SRI786440 TBB786440:TBE786440 TKX786440:TLA786440 TUT786440:TUW786440 UEP786440:UES786440 UOL786440:UOO786440 UYH786440:UYK786440 VID786440:VIG786440 VRZ786440:VSC786440 WBV786440:WBY786440 WLR786440:WLU786440 WVN786440:WVQ786440 F851976:I851976 JB851976:JE851976 SX851976:TA851976 ACT851976:ACW851976 AMP851976:AMS851976 AWL851976:AWO851976 BGH851976:BGK851976 BQD851976:BQG851976 BZZ851976:CAC851976 CJV851976:CJY851976 CTR851976:CTU851976 DDN851976:DDQ851976 DNJ851976:DNM851976 DXF851976:DXI851976 EHB851976:EHE851976 EQX851976:ERA851976 FAT851976:FAW851976 FKP851976:FKS851976 FUL851976:FUO851976 GEH851976:GEK851976 GOD851976:GOG851976 GXZ851976:GYC851976 HHV851976:HHY851976 HRR851976:HRU851976 IBN851976:IBQ851976 ILJ851976:ILM851976 IVF851976:IVI851976 JFB851976:JFE851976 JOX851976:JPA851976 JYT851976:JYW851976 KIP851976:KIS851976 KSL851976:KSO851976 LCH851976:LCK851976 LMD851976:LMG851976 LVZ851976:LWC851976 MFV851976:MFY851976 MPR851976:MPU851976 MZN851976:MZQ851976 NJJ851976:NJM851976 NTF851976:NTI851976 ODB851976:ODE851976 OMX851976:ONA851976 OWT851976:OWW851976 PGP851976:PGS851976 PQL851976:PQO851976 QAH851976:QAK851976 QKD851976:QKG851976 QTZ851976:QUC851976 RDV851976:RDY851976 RNR851976:RNU851976 RXN851976:RXQ851976 SHJ851976:SHM851976 SRF851976:SRI851976 TBB851976:TBE851976 TKX851976:TLA851976 TUT851976:TUW851976 UEP851976:UES851976 UOL851976:UOO851976 UYH851976:UYK851976 VID851976:VIG851976 VRZ851976:VSC851976 WBV851976:WBY851976 WLR851976:WLU851976 WVN851976:WVQ851976 F917512:I917512 JB917512:JE917512 SX917512:TA917512 ACT917512:ACW917512 AMP917512:AMS917512 AWL917512:AWO917512 BGH917512:BGK917512 BQD917512:BQG917512 BZZ917512:CAC917512 CJV917512:CJY917512 CTR917512:CTU917512 DDN917512:DDQ917512 DNJ917512:DNM917512 DXF917512:DXI917512 EHB917512:EHE917512 EQX917512:ERA917512 FAT917512:FAW917512 FKP917512:FKS917512 FUL917512:FUO917512 GEH917512:GEK917512 GOD917512:GOG917512 GXZ917512:GYC917512 HHV917512:HHY917512 HRR917512:HRU917512 IBN917512:IBQ917512 ILJ917512:ILM917512 IVF917512:IVI917512 JFB917512:JFE917512 JOX917512:JPA917512 JYT917512:JYW917512 KIP917512:KIS917512 KSL917512:KSO917512 LCH917512:LCK917512 LMD917512:LMG917512 LVZ917512:LWC917512 MFV917512:MFY917512 MPR917512:MPU917512 MZN917512:MZQ917512 NJJ917512:NJM917512 NTF917512:NTI917512 ODB917512:ODE917512 OMX917512:ONA917512 OWT917512:OWW917512 PGP917512:PGS917512 PQL917512:PQO917512 QAH917512:QAK917512 QKD917512:QKG917512 QTZ917512:QUC917512 RDV917512:RDY917512 RNR917512:RNU917512 RXN917512:RXQ917512 SHJ917512:SHM917512 SRF917512:SRI917512 TBB917512:TBE917512 TKX917512:TLA917512 TUT917512:TUW917512 UEP917512:UES917512 UOL917512:UOO917512 UYH917512:UYK917512 VID917512:VIG917512 VRZ917512:VSC917512 WBV917512:WBY917512 WLR917512:WLU917512 WVN917512:WVQ917512 F983048:I983048 JB983048:JE983048 SX983048:TA983048 ACT983048:ACW983048 AMP983048:AMS983048 AWL983048:AWO983048 BGH983048:BGK983048 BQD983048:BQG983048 BZZ983048:CAC983048 CJV983048:CJY983048 CTR983048:CTU983048 DDN983048:DDQ983048 DNJ983048:DNM983048 DXF983048:DXI983048 EHB983048:EHE983048 EQX983048:ERA983048 FAT983048:FAW983048 FKP983048:FKS983048 FUL983048:FUO983048 GEH983048:GEK983048 GOD983048:GOG983048 GXZ983048:GYC983048 HHV983048:HHY983048 HRR983048:HRU983048 IBN983048:IBQ983048 ILJ983048:ILM983048 IVF983048:IVI983048 JFB983048:JFE983048 JOX983048:JPA983048 JYT983048:JYW983048 KIP983048:KIS983048 KSL983048:KSO983048 LCH983048:LCK983048 LMD983048:LMG983048 LVZ983048:LWC983048 MFV983048:MFY983048 MPR983048:MPU983048 MZN983048:MZQ983048 NJJ983048:NJM983048 NTF983048:NTI983048 ODB983048:ODE983048 OMX983048:ONA983048 OWT983048:OWW983048 PGP983048:PGS983048 PQL983048:PQO983048 QAH983048:QAK983048 QKD983048:QKG983048 QTZ983048:QUC983048 RDV983048:RDY983048 RNR983048:RNU983048 RXN983048:RXQ983048 SHJ983048:SHM983048 SRF983048:SRI983048 TBB983048:TBE983048 TKX983048:TLA983048 TUT983048:TUW983048 UEP983048:UES983048 UOL983048:UOO983048 UYH983048:UYK983048 VID983048:VIG983048 VRZ983048:VSC983048 WBV983048:WBY983048 WLR983048:WLU983048 WVN983048:WVQ983048" xr:uid="{B675DED7-E63F-447A-8EF0-1EAD8E36E5A3}"/>
    <dataValidation type="list" allowBlank="1" showInputMessage="1" showErrorMessage="1" sqref="F11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F65547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83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19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55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91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27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63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99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35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71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907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43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79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515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51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xr:uid="{DC02B352-AEA2-4267-80ED-EC1D27534A1B}">
      <formula1>"前年度（３月を除く）,届出日の属する月の前３月"</formula1>
    </dataValidation>
    <dataValidation type="list" allowBlank="1" showInputMessage="1" showErrorMessage="1" sqref="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44 IX44 ST44 ACP44 AML44 AWH44 BGD44 BPZ44 BZV44 CJR44 CTN44 DDJ44 DNF44 DXB44 EGX44 EQT44 FAP44 FKL44 FUH44 GED44 GNZ44 GXV44 HHR44 HRN44 IBJ44 ILF44 IVB44 JEX44 JOT44 JYP44 KIL44 KSH44 LCD44 LLZ44 LVV44 MFR44 MPN44 MZJ44 NJF44 NTB44 OCX44 OMT44 OWP44 PGL44 PQH44 QAD44 QJZ44 QTV44 RDR44 RNN44 RXJ44 SHF44 SRB44 TAX44 TKT44 TUP44 UEL44 UOH44 UYD44 VHZ44 VRV44 WBR44 WLN44 WVJ44 B65580 IX65580 ST65580 ACP65580 AML65580 AWH65580 BGD65580 BPZ65580 BZV65580 CJR65580 CTN65580 DDJ65580 DNF65580 DXB65580 EGX65580 EQT65580 FAP65580 FKL65580 FUH65580 GED65580 GNZ65580 GXV65580 HHR65580 HRN65580 IBJ65580 ILF65580 IVB65580 JEX65580 JOT65580 JYP65580 KIL65580 KSH65580 LCD65580 LLZ65580 LVV65580 MFR65580 MPN65580 MZJ65580 NJF65580 NTB65580 OCX65580 OMT65580 OWP65580 PGL65580 PQH65580 QAD65580 QJZ65580 QTV65580 RDR65580 RNN65580 RXJ65580 SHF65580 SRB65580 TAX65580 TKT65580 TUP65580 UEL65580 UOH65580 UYD65580 VHZ65580 VRV65580 WBR65580 WLN65580 WVJ65580 B131116 IX131116 ST131116 ACP131116 AML131116 AWH131116 BGD131116 BPZ131116 BZV131116 CJR131116 CTN131116 DDJ131116 DNF131116 DXB131116 EGX131116 EQT131116 FAP131116 FKL131116 FUH131116 GED131116 GNZ131116 GXV131116 HHR131116 HRN131116 IBJ131116 ILF131116 IVB131116 JEX131116 JOT131116 JYP131116 KIL131116 KSH131116 LCD131116 LLZ131116 LVV131116 MFR131116 MPN131116 MZJ131116 NJF131116 NTB131116 OCX131116 OMT131116 OWP131116 PGL131116 PQH131116 QAD131116 QJZ131116 QTV131116 RDR131116 RNN131116 RXJ131116 SHF131116 SRB131116 TAX131116 TKT131116 TUP131116 UEL131116 UOH131116 UYD131116 VHZ131116 VRV131116 WBR131116 WLN131116 WVJ131116 B196652 IX196652 ST196652 ACP196652 AML196652 AWH196652 BGD196652 BPZ196652 BZV196652 CJR196652 CTN196652 DDJ196652 DNF196652 DXB196652 EGX196652 EQT196652 FAP196652 FKL196652 FUH196652 GED196652 GNZ196652 GXV196652 HHR196652 HRN196652 IBJ196652 ILF196652 IVB196652 JEX196652 JOT196652 JYP196652 KIL196652 KSH196652 LCD196652 LLZ196652 LVV196652 MFR196652 MPN196652 MZJ196652 NJF196652 NTB196652 OCX196652 OMT196652 OWP196652 PGL196652 PQH196652 QAD196652 QJZ196652 QTV196652 RDR196652 RNN196652 RXJ196652 SHF196652 SRB196652 TAX196652 TKT196652 TUP196652 UEL196652 UOH196652 UYD196652 VHZ196652 VRV196652 WBR196652 WLN196652 WVJ196652 B262188 IX262188 ST262188 ACP262188 AML262188 AWH262188 BGD262188 BPZ262188 BZV262188 CJR262188 CTN262188 DDJ262188 DNF262188 DXB262188 EGX262188 EQT262188 FAP262188 FKL262188 FUH262188 GED262188 GNZ262188 GXV262188 HHR262188 HRN262188 IBJ262188 ILF262188 IVB262188 JEX262188 JOT262188 JYP262188 KIL262188 KSH262188 LCD262188 LLZ262188 LVV262188 MFR262188 MPN262188 MZJ262188 NJF262188 NTB262188 OCX262188 OMT262188 OWP262188 PGL262188 PQH262188 QAD262188 QJZ262188 QTV262188 RDR262188 RNN262188 RXJ262188 SHF262188 SRB262188 TAX262188 TKT262188 TUP262188 UEL262188 UOH262188 UYD262188 VHZ262188 VRV262188 WBR262188 WLN262188 WVJ262188 B327724 IX327724 ST327724 ACP327724 AML327724 AWH327724 BGD327724 BPZ327724 BZV327724 CJR327724 CTN327724 DDJ327724 DNF327724 DXB327724 EGX327724 EQT327724 FAP327724 FKL327724 FUH327724 GED327724 GNZ327724 GXV327724 HHR327724 HRN327724 IBJ327724 ILF327724 IVB327724 JEX327724 JOT327724 JYP327724 KIL327724 KSH327724 LCD327724 LLZ327724 LVV327724 MFR327724 MPN327724 MZJ327724 NJF327724 NTB327724 OCX327724 OMT327724 OWP327724 PGL327724 PQH327724 QAD327724 QJZ327724 QTV327724 RDR327724 RNN327724 RXJ327724 SHF327724 SRB327724 TAX327724 TKT327724 TUP327724 UEL327724 UOH327724 UYD327724 VHZ327724 VRV327724 WBR327724 WLN327724 WVJ327724 B393260 IX393260 ST393260 ACP393260 AML393260 AWH393260 BGD393260 BPZ393260 BZV393260 CJR393260 CTN393260 DDJ393260 DNF393260 DXB393260 EGX393260 EQT393260 FAP393260 FKL393260 FUH393260 GED393260 GNZ393260 GXV393260 HHR393260 HRN393260 IBJ393260 ILF393260 IVB393260 JEX393260 JOT393260 JYP393260 KIL393260 KSH393260 LCD393260 LLZ393260 LVV393260 MFR393260 MPN393260 MZJ393260 NJF393260 NTB393260 OCX393260 OMT393260 OWP393260 PGL393260 PQH393260 QAD393260 QJZ393260 QTV393260 RDR393260 RNN393260 RXJ393260 SHF393260 SRB393260 TAX393260 TKT393260 TUP393260 UEL393260 UOH393260 UYD393260 VHZ393260 VRV393260 WBR393260 WLN393260 WVJ393260 B458796 IX458796 ST458796 ACP458796 AML458796 AWH458796 BGD458796 BPZ458796 BZV458796 CJR458796 CTN458796 DDJ458796 DNF458796 DXB458796 EGX458796 EQT458796 FAP458796 FKL458796 FUH458796 GED458796 GNZ458796 GXV458796 HHR458796 HRN458796 IBJ458796 ILF458796 IVB458796 JEX458796 JOT458796 JYP458796 KIL458796 KSH458796 LCD458796 LLZ458796 LVV458796 MFR458796 MPN458796 MZJ458796 NJF458796 NTB458796 OCX458796 OMT458796 OWP458796 PGL458796 PQH458796 QAD458796 QJZ458796 QTV458796 RDR458796 RNN458796 RXJ458796 SHF458796 SRB458796 TAX458796 TKT458796 TUP458796 UEL458796 UOH458796 UYD458796 VHZ458796 VRV458796 WBR458796 WLN458796 WVJ458796 B524332 IX524332 ST524332 ACP524332 AML524332 AWH524332 BGD524332 BPZ524332 BZV524332 CJR524332 CTN524332 DDJ524332 DNF524332 DXB524332 EGX524332 EQT524332 FAP524332 FKL524332 FUH524332 GED524332 GNZ524332 GXV524332 HHR524332 HRN524332 IBJ524332 ILF524332 IVB524332 JEX524332 JOT524332 JYP524332 KIL524332 KSH524332 LCD524332 LLZ524332 LVV524332 MFR524332 MPN524332 MZJ524332 NJF524332 NTB524332 OCX524332 OMT524332 OWP524332 PGL524332 PQH524332 QAD524332 QJZ524332 QTV524332 RDR524332 RNN524332 RXJ524332 SHF524332 SRB524332 TAX524332 TKT524332 TUP524332 UEL524332 UOH524332 UYD524332 VHZ524332 VRV524332 WBR524332 WLN524332 WVJ524332 B589868 IX589868 ST589868 ACP589868 AML589868 AWH589868 BGD589868 BPZ589868 BZV589868 CJR589868 CTN589868 DDJ589868 DNF589868 DXB589868 EGX589868 EQT589868 FAP589868 FKL589868 FUH589868 GED589868 GNZ589868 GXV589868 HHR589868 HRN589868 IBJ589868 ILF589868 IVB589868 JEX589868 JOT589868 JYP589868 KIL589868 KSH589868 LCD589868 LLZ589868 LVV589868 MFR589868 MPN589868 MZJ589868 NJF589868 NTB589868 OCX589868 OMT589868 OWP589868 PGL589868 PQH589868 QAD589868 QJZ589868 QTV589868 RDR589868 RNN589868 RXJ589868 SHF589868 SRB589868 TAX589868 TKT589868 TUP589868 UEL589868 UOH589868 UYD589868 VHZ589868 VRV589868 WBR589868 WLN589868 WVJ589868 B655404 IX655404 ST655404 ACP655404 AML655404 AWH655404 BGD655404 BPZ655404 BZV655404 CJR655404 CTN655404 DDJ655404 DNF655404 DXB655404 EGX655404 EQT655404 FAP655404 FKL655404 FUH655404 GED655404 GNZ655404 GXV655404 HHR655404 HRN655404 IBJ655404 ILF655404 IVB655404 JEX655404 JOT655404 JYP655404 KIL655404 KSH655404 LCD655404 LLZ655404 LVV655404 MFR655404 MPN655404 MZJ655404 NJF655404 NTB655404 OCX655404 OMT655404 OWP655404 PGL655404 PQH655404 QAD655404 QJZ655404 QTV655404 RDR655404 RNN655404 RXJ655404 SHF655404 SRB655404 TAX655404 TKT655404 TUP655404 UEL655404 UOH655404 UYD655404 VHZ655404 VRV655404 WBR655404 WLN655404 WVJ655404 B720940 IX720940 ST720940 ACP720940 AML720940 AWH720940 BGD720940 BPZ720940 BZV720940 CJR720940 CTN720940 DDJ720940 DNF720940 DXB720940 EGX720940 EQT720940 FAP720940 FKL720940 FUH720940 GED720940 GNZ720940 GXV720940 HHR720940 HRN720940 IBJ720940 ILF720940 IVB720940 JEX720940 JOT720940 JYP720940 KIL720940 KSH720940 LCD720940 LLZ720940 LVV720940 MFR720940 MPN720940 MZJ720940 NJF720940 NTB720940 OCX720940 OMT720940 OWP720940 PGL720940 PQH720940 QAD720940 QJZ720940 QTV720940 RDR720940 RNN720940 RXJ720940 SHF720940 SRB720940 TAX720940 TKT720940 TUP720940 UEL720940 UOH720940 UYD720940 VHZ720940 VRV720940 WBR720940 WLN720940 WVJ720940 B786476 IX786476 ST786476 ACP786476 AML786476 AWH786476 BGD786476 BPZ786476 BZV786476 CJR786476 CTN786476 DDJ786476 DNF786476 DXB786476 EGX786476 EQT786476 FAP786476 FKL786476 FUH786476 GED786476 GNZ786476 GXV786476 HHR786476 HRN786476 IBJ786476 ILF786476 IVB786476 JEX786476 JOT786476 JYP786476 KIL786476 KSH786476 LCD786476 LLZ786476 LVV786476 MFR786476 MPN786476 MZJ786476 NJF786476 NTB786476 OCX786476 OMT786476 OWP786476 PGL786476 PQH786476 QAD786476 QJZ786476 QTV786476 RDR786476 RNN786476 RXJ786476 SHF786476 SRB786476 TAX786476 TKT786476 TUP786476 UEL786476 UOH786476 UYD786476 VHZ786476 VRV786476 WBR786476 WLN786476 WVJ786476 B852012 IX852012 ST852012 ACP852012 AML852012 AWH852012 BGD852012 BPZ852012 BZV852012 CJR852012 CTN852012 DDJ852012 DNF852012 DXB852012 EGX852012 EQT852012 FAP852012 FKL852012 FUH852012 GED852012 GNZ852012 GXV852012 HHR852012 HRN852012 IBJ852012 ILF852012 IVB852012 JEX852012 JOT852012 JYP852012 KIL852012 KSH852012 LCD852012 LLZ852012 LVV852012 MFR852012 MPN852012 MZJ852012 NJF852012 NTB852012 OCX852012 OMT852012 OWP852012 PGL852012 PQH852012 QAD852012 QJZ852012 QTV852012 RDR852012 RNN852012 RXJ852012 SHF852012 SRB852012 TAX852012 TKT852012 TUP852012 UEL852012 UOH852012 UYD852012 VHZ852012 VRV852012 WBR852012 WLN852012 WVJ852012 B917548 IX917548 ST917548 ACP917548 AML917548 AWH917548 BGD917548 BPZ917548 BZV917548 CJR917548 CTN917548 DDJ917548 DNF917548 DXB917548 EGX917548 EQT917548 FAP917548 FKL917548 FUH917548 GED917548 GNZ917548 GXV917548 HHR917548 HRN917548 IBJ917548 ILF917548 IVB917548 JEX917548 JOT917548 JYP917548 KIL917548 KSH917548 LCD917548 LLZ917548 LVV917548 MFR917548 MPN917548 MZJ917548 NJF917548 NTB917548 OCX917548 OMT917548 OWP917548 PGL917548 PQH917548 QAD917548 QJZ917548 QTV917548 RDR917548 RNN917548 RXJ917548 SHF917548 SRB917548 TAX917548 TKT917548 TUP917548 UEL917548 UOH917548 UYD917548 VHZ917548 VRV917548 WBR917548 WLN917548 WVJ917548 B983084 IX983084 ST983084 ACP983084 AML983084 AWH983084 BGD983084 BPZ983084 BZV983084 CJR983084 CTN983084 DDJ983084 DNF983084 DXB983084 EGX983084 EQT983084 FAP983084 FKL983084 FUH983084 GED983084 GNZ983084 GXV983084 HHR983084 HRN983084 IBJ983084 ILF983084 IVB983084 JEX983084 JOT983084 JYP983084 KIL983084 KSH983084 LCD983084 LLZ983084 LVV983084 MFR983084 MPN983084 MZJ983084 NJF983084 NTB983084 OCX983084 OMT983084 OWP983084 PGL983084 PQH983084 QAD983084 QJZ983084 QTV983084 RDR983084 RNN983084 RXJ983084 SHF983084 SRB983084 TAX983084 TKT983084 TUP983084 UEL983084 UOH983084 UYD983084 VHZ983084 VRV983084 WBR983084 WLN983084 WVJ983084" xr:uid="{A616EA53-2F65-44DC-94C3-0A0E6692D991}">
      <formula1>"□,■"</formula1>
    </dataValidation>
  </dataValidations>
  <printOptions horizontalCentered="1"/>
  <pageMargins left="0.51181102362204722" right="0.51181102362204722" top="0.35433070866141736" bottom="0.15748031496062992" header="0.31496062992125984" footer="0.31496062992125984"/>
  <pageSetup paperSize="9" scale="67" fitToHeight="2" orientation="portrait" blackAndWhite="1" cellComments="asDisplayed" r:id="rId1"/>
  <headerFooter alignWithMargins="0"/>
  <rowBreaks count="1" manualBreakCount="1">
    <brk id="56"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B05D066D-F6BB-4600-986C-C1D440CBBC3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F5953BE-AB95-4771-8551-0F5D0FE8F6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30</vt:i4>
      </vt:variant>
    </vt:vector>
  </HeadingPairs>
  <TitlesOfParts>
    <vt:vector size="59" baseType="lpstr">
      <vt:lpstr>手続き</vt:lpstr>
      <vt:lpstr>一覧</vt:lpstr>
      <vt:lpstr>一覧（取り下げ）</vt:lpstr>
      <vt:lpstr>別紙2</vt:lpstr>
      <vt:lpstr>別紙１－１ </vt:lpstr>
      <vt:lpstr>別紙5</vt:lpstr>
      <vt:lpstr>別紙6</vt:lpstr>
      <vt:lpstr>別紙7</vt:lpstr>
      <vt:lpstr>（参考資料）別紙7－2</vt:lpstr>
      <vt:lpstr>別紙7－3</vt:lpstr>
      <vt:lpstr>別紙12－２</vt:lpstr>
      <vt:lpstr>別紙14－4</vt:lpstr>
      <vt:lpstr>別紙25－2</vt:lpstr>
      <vt:lpstr>別紙27</vt:lpstr>
      <vt:lpstr>別紙28</vt:lpstr>
      <vt:lpstr>別紙２ 成果の確認の根拠データ</vt:lpstr>
      <vt:lpstr>別紙34 </vt:lpstr>
      <vt:lpstr>別紙35</vt:lpstr>
      <vt:lpstr>別紙37</vt:lpstr>
      <vt:lpstr>別紙37-2</vt:lpstr>
      <vt:lpstr>別紙38</vt:lpstr>
      <vt:lpstr>別紙39</vt:lpstr>
      <vt:lpstr>別紙40</vt:lpstr>
      <vt:lpstr>別紙41</vt:lpstr>
      <vt:lpstr>参考1</vt:lpstr>
      <vt:lpstr>参考2</vt:lpstr>
      <vt:lpstr>勤務一覧（夜勤加算用）</vt:lpstr>
      <vt:lpstr>勤務一覧（夜勤加算用）記入例</vt:lpstr>
      <vt:lpstr>別紙●24</vt:lpstr>
      <vt:lpstr>'（参考資料）別紙7－2'!Print_Area</vt:lpstr>
      <vt:lpstr>一覧!Print_Area</vt:lpstr>
      <vt:lpstr>'一覧（取り下げ）'!Print_Area</vt:lpstr>
      <vt:lpstr>'勤務一覧（夜勤加算用）'!Print_Area</vt:lpstr>
      <vt:lpstr>'勤務一覧（夜勤加算用）記入例'!Print_Area</vt:lpstr>
      <vt:lpstr>参考1!Print_Area</vt:lpstr>
      <vt:lpstr>参考2!Print_Area</vt:lpstr>
      <vt:lpstr>手続き!Print_Area</vt:lpstr>
      <vt:lpstr>別紙●24!Print_Area</vt:lpstr>
      <vt:lpstr>'別紙１－１ '!Print_Area</vt:lpstr>
      <vt:lpstr>'別紙12－２'!Print_Area</vt:lpstr>
      <vt:lpstr>'別紙14－4'!Print_Area</vt:lpstr>
      <vt:lpstr>'別紙２ 成果の確認の根拠データ'!Print_Area</vt:lpstr>
      <vt:lpstr>'別紙25－2'!Print_Area</vt:lpstr>
      <vt:lpstr>別紙27!Print_Area</vt:lpstr>
      <vt:lpstr>'別紙34 '!Print_Area</vt:lpstr>
      <vt:lpstr>別紙35!Print_Area</vt:lpstr>
      <vt:lpstr>別紙37!Print_Area</vt:lpstr>
      <vt:lpstr>'別紙37-2'!Print_Area</vt:lpstr>
      <vt:lpstr>別紙38!Print_Area</vt:lpstr>
      <vt:lpstr>別紙39!Print_Area</vt:lpstr>
      <vt:lpstr>別紙40!Print_Area</vt:lpstr>
      <vt:lpstr>別紙41!Print_Area</vt:lpstr>
      <vt:lpstr>別紙5!Print_Area</vt:lpstr>
      <vt:lpstr>別紙6!Print_Area</vt:lpstr>
      <vt:lpstr>別紙7!Print_Area</vt:lpstr>
      <vt:lpstr>'別紙7－3'!Print_Area</vt:lpstr>
      <vt:lpstr>一覧!Print_Titles</vt:lpstr>
      <vt:lpstr>'一覧（取り下げ）'!Print_Titles</vt:lpstr>
      <vt:lpstr>'勤務一覧（夜勤加算用）'!Print_Titles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吉原　胡桃</cp:lastModifiedBy>
  <cp:lastPrinted>2025-03-31T01:43:48Z</cp:lastPrinted>
  <dcterms:created xsi:type="dcterms:W3CDTF">1997-01-08T22:48:59Z</dcterms:created>
  <dcterms:modified xsi:type="dcterms:W3CDTF">2025-06-30T04:20:43Z</dcterms:modified>
</cp:coreProperties>
</file>